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2.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3.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4.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5.xml" ContentType="application/vnd.openxmlformats-officedocument.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mc:AlternateContent xmlns:mc="http://schemas.openxmlformats.org/markup-compatibility/2006">
    <mc:Choice Requires="x15">
      <x15ac:absPath xmlns:x15ac="http://schemas.microsoft.com/office/spreadsheetml/2010/11/ac" url="/Users/imac/Desktop/"/>
    </mc:Choice>
  </mc:AlternateContent>
  <xr:revisionPtr revIDLastSave="0" documentId="8_{B697FBD6-0F95-0340-821B-FDDB9E9714FE}" xr6:coauthVersionLast="47" xr6:coauthVersionMax="47" xr10:uidLastSave="{00000000-0000-0000-0000-000000000000}"/>
  <workbookProtection workbookPassword="D04A" lockStructure="1"/>
  <bookViews>
    <workbookView xWindow="0" yWindow="660" windowWidth="28800" windowHeight="15900" xr2:uid="{00000000-000D-0000-FFFF-FFFF00000000}"/>
  </bookViews>
  <sheets>
    <sheet name="APCS" sheetId="1" r:id="rId1"/>
    <sheet name="APCS (19)" sheetId="2" state="hidden" r:id="rId2"/>
    <sheet name="AACS" sheetId="3" r:id="rId3"/>
    <sheet name="ABCS" sheetId="4" r:id="rId4"/>
    <sheet name="ABCS (2)" sheetId="5" state="hidden" r:id="rId5"/>
    <sheet name="Sheet2" sheetId="6" state="hidden" r:id="rId6"/>
    <sheet name="3-20A" sheetId="7" state="hidden" r:id="rId7"/>
    <sheet name="03-45" sheetId="8" r:id="rId8"/>
    <sheet name="Sheet7" sheetId="9" state="hidden" r:id="rId9"/>
    <sheet name="Sheet9" sheetId="11" state="hidden" r:id="rId10"/>
    <sheet name="Sheet10" sheetId="12" state="hidden" r:id="rId11"/>
    <sheet name="Sheet13" sheetId="13" state="hidden" r:id="rId12"/>
    <sheet name="Sheet14" sheetId="14" state="hidden" r:id="rId13"/>
    <sheet name="Sheet15" sheetId="15" state="hidden" r:id="rId14"/>
    <sheet name="Sheet16" sheetId="16" state="hidden" r:id="rId15"/>
    <sheet name="Sheet1" sheetId="17" state="hidden" r:id="rId16"/>
    <sheet name="Summary" sheetId="18" r:id="rId17"/>
  </sheets>
  <definedNames>
    <definedName name="_FIB10">Sheet2!$DU$2:$DU$57</definedName>
    <definedName name="_FIB11">Sheet2!$DV$2:$DV$57</definedName>
    <definedName name="_FIB12">Sheet2!$DW$2:$DW$57</definedName>
    <definedName name="_FIB13">Sheet2!$DX$2:$DX$57</definedName>
    <definedName name="_FIB14">Sheet2!$DY$2:$DY$57</definedName>
    <definedName name="_FIB15">Sheet2!$DZ$2:$DZ$57</definedName>
    <definedName name="_FIB16">Sheet2!$EA$2:$EA$57</definedName>
    <definedName name="_FIB17">Sheet2!$EB$2:$EB$57</definedName>
    <definedName name="_FIB18">Sheet2!$EC$2:$EC$57</definedName>
    <definedName name="_FIB19">Sheet2!$ED$2:$ED$57</definedName>
    <definedName name="_FIB20">Sheet2!$EE$2:$EE$57</definedName>
    <definedName name="_FIB21">Sheet2!$EF$2:$EF$57</definedName>
    <definedName name="_FIB22">Sheet2!$EG$2:$EG$57</definedName>
    <definedName name="_FIB23">Sheet2!$EH$2:$EH$57</definedName>
    <definedName name="_FIB24">Sheet2!$EI$2:$EI$57</definedName>
    <definedName name="_FIB25">Sheet2!$EJ$2:$EJ$57</definedName>
    <definedName name="_FIB26">Sheet2!$EK$2:$EK$57</definedName>
    <definedName name="_FIB27">Sheet2!$EL$2:$EL$57</definedName>
    <definedName name="_FIB28">Sheet2!$EM$2:$EM$57</definedName>
    <definedName name="_FIB29">Sheet2!$EN$2:$EN$57</definedName>
    <definedName name="_FIB30">Sheet2!$EO$2:$EO$57</definedName>
    <definedName name="_FIB31">Sheet2!$EP$2:$EP$57</definedName>
    <definedName name="_FIB32">Sheet2!$EQ$2:$EQ$57</definedName>
    <definedName name="_FIB33">Sheet2!$ER$2:$ER$57</definedName>
    <definedName name="_FIB34">Sheet2!$ES$2:$ES$57</definedName>
    <definedName name="_FIB35">Sheet2!$ET$2:$ET$57</definedName>
    <definedName name="_FIB36">Sheet2!$EU$2:$EU$57</definedName>
    <definedName name="_FIB37">Sheet2!$EV$2:$EV$57</definedName>
    <definedName name="_FIB38">Sheet2!$EW$2:$EW$57</definedName>
    <definedName name="_FIB39">Sheet2!$EX$2:$EX$57</definedName>
    <definedName name="_FIB40">Sheet2!$EY$2:$EY$57</definedName>
    <definedName name="_FIB41">Sheet2!$EZ$2:$EZ$57</definedName>
    <definedName name="_FIB42">Sheet2!$FA$2:$FA$57</definedName>
    <definedName name="_FIB43">Sheet2!$FB$2:$FB$57</definedName>
    <definedName name="_FIB44">Sheet2!$FC$2:$FC$57</definedName>
    <definedName name="_FIB45">Sheet2!$FD$2:$FD$57</definedName>
    <definedName name="_ND10">Sheet2!$DP$2:$DP$57</definedName>
    <definedName name="_ND15">Sheet2!$DQ$2:$DQ$57</definedName>
    <definedName name="_ND18">Sheet2!$DS$2:$DS$57</definedName>
    <definedName name="_ND20">Sheet2!$DR$2:$DR$57</definedName>
    <definedName name="_ND21">Sheet2!$DT$2:$DT$57</definedName>
    <definedName name="_RPR10">Sheet2!$GZ$2:$GZ$57</definedName>
    <definedName name="_RPR11">Sheet2!$HA$2:$HA$57</definedName>
    <definedName name="_RPR12">Sheet2!$HB$2:$HB$57</definedName>
    <definedName name="_RPR13">Sheet2!$HC$2:$HC$57</definedName>
    <definedName name="_RPR14">Sheet2!$HD$2:$HD$57</definedName>
    <definedName name="_RPR15">Sheet2!$HE$2:$HE$57</definedName>
    <definedName name="_RPR16">Sheet2!$HF$2:$HF$57</definedName>
    <definedName name="_RPR17">Sheet2!$HG$2:$HG$57</definedName>
    <definedName name="_RPR18">Sheet2!$HH$2:$HH$57</definedName>
    <definedName name="_RPR19">Sheet2!$HI$2:$HI$57</definedName>
    <definedName name="_RPR20">Sheet2!$HJ$2:$HJ$57</definedName>
    <definedName name="_RPR21">Sheet2!$HK$2:$HK$57</definedName>
    <definedName name="_RPR22">Sheet2!$HL$2:$HL$57</definedName>
    <definedName name="_RPR23">Sheet2!$HM$2:$HM$57</definedName>
    <definedName name="_RPR24">Sheet2!$HN$2:$HN$57</definedName>
    <definedName name="_RPR25">Sheet2!$HO$2:$HO$57</definedName>
    <definedName name="_SWP10">Sheet2!$FU$2:$FU$57</definedName>
    <definedName name="_SWP15">Sheet2!$FZ$2:$FZ$57</definedName>
    <definedName name="_SWP18">Sheet2!$GC$2:$GC$57</definedName>
    <definedName name="_SWP20">Sheet2!$GE$2:$GE$57</definedName>
    <definedName name="_SWP21">Sheet2!$GF$2:$GF$57</definedName>
    <definedName name="_SWP24">Sheet2!$GI$2:$GI$57</definedName>
    <definedName name="_SWP25">Sheet2!$GJ$2:$GJ$57</definedName>
    <definedName name="_SWP27">Sheet2!$GL$2:$GL$57</definedName>
    <definedName name="_SWP30">Sheet2!$GO$2:$GO$57</definedName>
    <definedName name="_SWP35">Sheet2!$GT$2:$GT$57</definedName>
    <definedName name="_SWP40">Sheet2!$GY$2:$GY$57</definedName>
    <definedName name="_SWP45">Sheet2!#REF!</definedName>
    <definedName name="_SWP50">Sheet2!#REF!</definedName>
    <definedName name="_SWP55">Sheet2!#REF!</definedName>
    <definedName name="_SWP60">Sheet2!#REF!</definedName>
    <definedName name="_TIR10">Sheet2!$FE$2:$FE$57</definedName>
    <definedName name="_TIR11">Sheet2!$FF$2:$FF$57</definedName>
    <definedName name="_TIR12">Sheet2!$FG$2:$FG$57</definedName>
    <definedName name="_TIR13">Sheet2!$FH$2:$FH$57</definedName>
    <definedName name="_TIR14">Sheet2!$FI$2:$FI$57</definedName>
    <definedName name="_TIR15">Sheet2!$FJ$2:$FJ$57</definedName>
    <definedName name="_TIR16">Sheet2!$FK$2:$FK$57</definedName>
    <definedName name="_TIR17">Sheet2!$FL$2:$FL$57</definedName>
    <definedName name="_TIR18">Sheet2!$FM$2:$FM$57</definedName>
    <definedName name="_TIR19">Sheet2!$FN$2:$FN$57</definedName>
    <definedName name="_TIR20">Sheet2!$FO$2:$FO$57</definedName>
    <definedName name="_TIR21">Sheet2!$FP$2:$FP$57</definedName>
    <definedName name="_TIR22">Sheet2!$FQ$2:$FQ$57</definedName>
    <definedName name="_TIR23">Sheet2!$FR$2:$FR$57</definedName>
    <definedName name="_TIR24">Sheet2!$FS$2:$FS$57</definedName>
    <definedName name="_TIR25">Sheet2!$FT$2:$FT$57</definedName>
    <definedName name="Age">Sheet2!$A$2:$A$1048576</definedName>
    <definedName name="FIB10_">Sheet2!$DU$2:$DU$1048576</definedName>
    <definedName name="FIB11_">Sheet2!$DV$2:$DV$1048576</definedName>
    <definedName name="FIB12_">Sheet2!$DW$2:$DW$1048576</definedName>
    <definedName name="FIB13_">Sheet2!$DX$2:$DX$1048576</definedName>
    <definedName name="FIB14_">Sheet2!$DY$2:$DY$1048576</definedName>
    <definedName name="FIB15_">Sheet2!$DZ$2:$DZ$1048576</definedName>
    <definedName name="FIB16_">Sheet2!$EA$2:$EA$1048576</definedName>
    <definedName name="FIB17_">Sheet2!$EB$2:$EB$1048576</definedName>
    <definedName name="FIB18_">Sheet2!$EC$2:$EC$1048576</definedName>
    <definedName name="FIB19_">Sheet2!$ED$2:$ED$1048576</definedName>
    <definedName name="FIB20_">Sheet2!$EE$2:$EE$1048576</definedName>
    <definedName name="FIB21_">Sheet2!$EF$2:$EF$1048576</definedName>
    <definedName name="FIB22_">Sheet2!$EG$2:$EG$1048576</definedName>
    <definedName name="FIB23_">Sheet2!$EH$2:$EH$1048576</definedName>
    <definedName name="FIB24_">Sheet2!$EI$2:$EI$1048576</definedName>
    <definedName name="FIB25_">Sheet2!$EJ$2:$EJ$1048576</definedName>
    <definedName name="FIB26_">Sheet2!$EK$2:$EK$1048576</definedName>
    <definedName name="FIB27_">Sheet2!$EL$2:$EL$1048576</definedName>
    <definedName name="FIB28_">Sheet2!$EM$2:$EM$1048576</definedName>
    <definedName name="FIB29_">Sheet2!$EN$2:$EN$1048576</definedName>
    <definedName name="FIB30_">Sheet2!$EO$2:$EO$1048576</definedName>
    <definedName name="FIB31_">Sheet2!$EP$2:$EP$1048576</definedName>
    <definedName name="FIB32_">Sheet2!$EQ$2:$EQ$1048576</definedName>
    <definedName name="FIB33_">Sheet2!$ER$2:$ER$1048576</definedName>
    <definedName name="FIB34_">Sheet2!$ES$2:$ES$1048576</definedName>
    <definedName name="FIB35_">Sheet2!$ET$2:$ET$1048576</definedName>
    <definedName name="FIB36_">Sheet2!$EU$2:$EU$1048576</definedName>
    <definedName name="FIB37_">Sheet2!$EV$2:$EV$1048576</definedName>
    <definedName name="FIB38_">Sheet2!$EW$2:$EW$1048576</definedName>
    <definedName name="FIB39_">Sheet2!$EX$2:$EX$1048576</definedName>
    <definedName name="FIB40_">Sheet2!$EY$2:$EY$1048576</definedName>
    <definedName name="FIB41_">Sheet2!$EZ$2:$EZ$1048576</definedName>
    <definedName name="FIB42_">Sheet2!$FA$2:$FA$1048576</definedName>
    <definedName name="FIB43_">Sheet2!$FB$2:$FB$1048576</definedName>
    <definedName name="FIB44_">Sheet2!$FC$2:$FC$1048576</definedName>
    <definedName name="FIB45_">Sheet2!$FD$2:$FD$1048576</definedName>
    <definedName name="ND10_">Sheet2!$DP$2:$DP$1048576</definedName>
    <definedName name="ND15_">Sheet2!$DQ$2:$DQ$1048576</definedName>
    <definedName name="ND18_">Sheet2!$DS$2:$DS$1048576</definedName>
    <definedName name="ND20_">Sheet2!$DR$2:$DR$1048576</definedName>
    <definedName name="ND21_">Sheet2!$DT$2:$DT$1048576</definedName>
    <definedName name="plan" localSheetId="0">APCS!$B$235:$B$253</definedName>
    <definedName name="plan" localSheetId="1">'APCS (19)'!$B$178:$B$186</definedName>
    <definedName name="plan">#REF!</definedName>
    <definedName name="_xlnm.Print_Area" localSheetId="7">'03-45'!$C$3:$T$70</definedName>
    <definedName name="_xlnm.Print_Area" localSheetId="6">'3-20A'!$B$2:$I$43</definedName>
    <definedName name="_xlnm.Print_Area" localSheetId="3">ABCS!$C$41:$I$48</definedName>
    <definedName name="_xlnm.Print_Area" localSheetId="4">'ABCS (2)'!$B$36:$F$43</definedName>
    <definedName name="_xlnm.Print_Area" localSheetId="0">APCS!$B$2:$K$20</definedName>
    <definedName name="_xlnm.Print_Area" localSheetId="1">'APCS (19)'!$B$2:$K$30</definedName>
    <definedName name="_xlnm.Print_Area" localSheetId="5">Sheet2!$A$1:$HO$57</definedName>
    <definedName name="_xlnm.Print_Area" localSheetId="16">Summary!$B$2:$K$26</definedName>
    <definedName name="RPR10_">Sheet2!$GZ$2:$GZ$1048576</definedName>
    <definedName name="RPR11_">Sheet2!$HA$2:$HA$1048576</definedName>
    <definedName name="RPR12_">Sheet2!$HB$2:$HB$1048576</definedName>
    <definedName name="RPR13_">Sheet2!$HC$2:$HC$1048576</definedName>
    <definedName name="RPR14_">Sheet2!$HD$2:$HD$1048576</definedName>
    <definedName name="RPR15_">Sheet2!$HE$2:$HE$1048576</definedName>
    <definedName name="RPR16_">Sheet2!$HF$2:$HF$1048576</definedName>
    <definedName name="RPR17_">Sheet2!$HG$2:$HG$1048576</definedName>
    <definedName name="RPR18_">Sheet2!$HH$2:$HH$1048576</definedName>
    <definedName name="RPR19_">Sheet2!$HI$2:$HI$1048576</definedName>
    <definedName name="RPR20_">Sheet2!$HJ$2:$HJ$1048576</definedName>
    <definedName name="RPR21_">Sheet2!$HK$2:$HK$1048576</definedName>
    <definedName name="RPR22_">Sheet2!$HL$2:$HL$1048576</definedName>
    <definedName name="RPR23_">Sheet2!$HM$2:$HM$1048576</definedName>
    <definedName name="RPR24_">Sheet2!$HN$2:$HN$1048576</definedName>
    <definedName name="RPR25_">Sheet2!$HO$2:$HO$1048576</definedName>
    <definedName name="SWP10_">Sheet2!$FU$2:$FU$1048576</definedName>
    <definedName name="SWP11_">Sheet2!$FV$2:$FV$1048576</definedName>
    <definedName name="SWP12_">Sheet2!$FW$2:$FW$1048576</definedName>
    <definedName name="SWP13_">Sheet2!$FX$2:$FX$1048576</definedName>
    <definedName name="SWP14_">Sheet2!$FY$2:$FY$1048576</definedName>
    <definedName name="SWP15_">Sheet2!$FZ$2:$FZ$1048576</definedName>
    <definedName name="SWP16_">Sheet2!$GA$2:$GA$1048576</definedName>
    <definedName name="SWP17_">Sheet2!$GB$2:$GB$1048576</definedName>
    <definedName name="SWP18_">Sheet2!$GC$2:$GC$1048576</definedName>
    <definedName name="SWP19_">Sheet2!$GD$2:$GD$1048576</definedName>
    <definedName name="SWP20_">Sheet2!$GE$2:$GE$1048576</definedName>
    <definedName name="SWP21_">Sheet2!$GF$2:$GF$1048576</definedName>
    <definedName name="SWP22_">Sheet2!$GG$2:$GG$1048576</definedName>
    <definedName name="SWP23_">Sheet2!$GH$2:$GH$1048576</definedName>
    <definedName name="SWP24_">Sheet2!$GI$2:$GI$1048576</definedName>
    <definedName name="SWP25_">Sheet2!$GJ$2:$GJ$1048576</definedName>
    <definedName name="SWP26_">Sheet2!$GK$2:$GK$1048576</definedName>
    <definedName name="SWP27_">Sheet2!$GL$2:$GL$1048576</definedName>
    <definedName name="SWP28_">Sheet2!$GM$2:$GM$1048576</definedName>
    <definedName name="SWP29_">Sheet2!$GN$2:$GN$1048576</definedName>
    <definedName name="SWP30_">Sheet2!$GO$2:$GO$1048576</definedName>
    <definedName name="SWP31_">Sheet2!$GP$2:$GP$1048576</definedName>
    <definedName name="SWP32_">Sheet2!$GQ$2:$GQ$1048576</definedName>
    <definedName name="SWP33_">Sheet2!$GR$2:$GR$1048576</definedName>
    <definedName name="SWP34_">Sheet2!$GS$2:$GS$1048576</definedName>
    <definedName name="SWP35_">Sheet2!$GT$2:$GT$1048576</definedName>
    <definedName name="SWP36_">Sheet2!$GU$2:$GU$1048576</definedName>
    <definedName name="SWP37_">Sheet2!$GV$2:$GV$1048576</definedName>
    <definedName name="SWP38_">Sheet2!$GW$2:$GW$1048576</definedName>
    <definedName name="SWP39_">Sheet2!$GX$2:$GX$1048576</definedName>
    <definedName name="SWP40_">Sheet2!$GY$2:$GY$1048576</definedName>
    <definedName name="table" localSheetId="0">APCS!$A$235:$A$253</definedName>
    <definedName name="table" localSheetId="1">'APCS (19)'!$A$178:$A$186</definedName>
    <definedName name="table">#REF!</definedName>
    <definedName name="Term01">Sheet2!$B$2:$B$1048576</definedName>
    <definedName name="Term0210">Sheet2!$HP$2:$HP$57</definedName>
    <definedName name="Term0215">Sheet2!$HQ$2:$HQ$57</definedName>
    <definedName name="Term0220">Sheet2!$HR$2:$HR$57</definedName>
    <definedName name="Term0225">Sheet2!$HS$2:$HS$57</definedName>
    <definedName name="Term0230">Sheet2!$HT$2:$HT$57</definedName>
    <definedName name="Term0270">Sheet2!$HU$2:$HU$57</definedName>
    <definedName name="Term0310">Sheet2!$C$2:$C$1048576</definedName>
    <definedName name="Term0311">Sheet2!$D$2:$D$1048576</definedName>
    <definedName name="Term0312">Sheet2!$E$2:$E$1048576</definedName>
    <definedName name="Term0313">Sheet2!$F$2:$F$1048576</definedName>
    <definedName name="Term0314">Sheet2!$G$2:$G$1048576</definedName>
    <definedName name="Term0315">Sheet2!$H$2:$H$1048576</definedName>
    <definedName name="Term0316">Sheet2!$I$2:$I$1048576</definedName>
    <definedName name="Term0317">Sheet2!$J$2:$J$1048576</definedName>
    <definedName name="Term0318">Sheet2!$K$2:$K$1048576</definedName>
    <definedName name="Term0319">Sheet2!$L$2:$L$1048576</definedName>
    <definedName name="Term0320">Sheet2!$M$2:$M$1048576</definedName>
    <definedName name="Term0321">Sheet2!$N$2:$N$1048576</definedName>
    <definedName name="Term0322">Sheet2!$O$2:$O$1048576</definedName>
    <definedName name="Term0323">Sheet2!$P$2:$P$1048576</definedName>
    <definedName name="Term0324">Sheet2!$Q$2:$Q$1048576</definedName>
    <definedName name="Term0325">Sheet2!$R$2:$R$1048576</definedName>
    <definedName name="Term0326">Sheet2!$S$2:$S$1048576</definedName>
    <definedName name="Term0327">Sheet2!$T$2:$T$1048576</definedName>
    <definedName name="Term0328">Sheet2!$U$2:$U$1048576</definedName>
    <definedName name="Term0329">Sheet2!$V$2:$V$1048576</definedName>
    <definedName name="Term0330">Sheet2!$W$2:$W$1048576</definedName>
    <definedName name="Term0331">Sheet2!$X$2:$X$1048576</definedName>
    <definedName name="Term0332">Sheet2!$Y$2:$Y$1048576</definedName>
    <definedName name="Term0333">Sheet2!$Z$2:$Z$1048576</definedName>
    <definedName name="Term0334">Sheet2!$AA$2:$AA$1048576</definedName>
    <definedName name="Term0335">Sheet2!$AB$2:$AB$1048576</definedName>
    <definedName name="Term0336">Sheet2!$AC$2:$AC$1048576</definedName>
    <definedName name="Term0337">Sheet2!$AD$2:$AD$1048576</definedName>
    <definedName name="Term0338">Sheet2!$AE$2:$AE$1048576</definedName>
    <definedName name="Term0339">Sheet2!$AF$2:$AF$1048576</definedName>
    <definedName name="Term0340">Sheet2!$AG$2:$AG$1048576</definedName>
    <definedName name="Term0341">Sheet2!$AH$2:$AH$1048576</definedName>
    <definedName name="Term0342">Sheet2!$AI$2:$AI$1048576</definedName>
    <definedName name="Term0343">Sheet2!$AJ$2:$AJ$1048576</definedName>
    <definedName name="Term0344">Sheet2!$AK$2:$AK$1048576</definedName>
    <definedName name="Term0345">Sheet2!$AL$2:$AL$1048576</definedName>
    <definedName name="Term0346">Sheet2!$AM$2:$AM$1048576</definedName>
    <definedName name="Term0347">Sheet2!$AN$2:$AN$1048576</definedName>
    <definedName name="Term0348">Sheet2!$AO$2:$AO$1048576</definedName>
    <definedName name="Term0349">Sheet2!$AP$2:$AP$1048576</definedName>
    <definedName name="Term0350">Sheet2!$AQ$2:$AQ$1048576</definedName>
    <definedName name="Term0351">Sheet2!$AR$2:$AR$1048576</definedName>
    <definedName name="Term0352">Sheet2!$AS$2:$AS$1048576</definedName>
    <definedName name="Term0353">Sheet2!$AT$2:$AT$1048576</definedName>
    <definedName name="Term0354">Sheet2!$AU$2:$AU$1048576</definedName>
    <definedName name="Term0355">Sheet2!$AV$2:$AV$1048576</definedName>
    <definedName name="Term0470">Sheet2!$HV$2:$HV$57</definedName>
    <definedName name="Term0518">Sheet2!$AW$2:$AW$1048576</definedName>
    <definedName name="Term0521">Sheet2!$AX$2:$AX$1048576</definedName>
    <definedName name="Term0524">Sheet2!$AY$2:$AY$1048576</definedName>
    <definedName name="Term0527">Sheet2!$AZ$2:$AZ$1048576</definedName>
    <definedName name="Term0530">Sheet2!$BA$2:$BA$1048576</definedName>
    <definedName name="Term0610">Sheet2!$HW$2:$HW$57</definedName>
    <definedName name="Term0615">Sheet2!$HX$2:$HX$57</definedName>
    <definedName name="Term0620">Sheet2!$HY$2:$HY$57</definedName>
    <definedName name="Term0625">Sheet2!$HZ$2:$HZ$57</definedName>
    <definedName name="Term0630">Sheet2!$IA$2:$IA$57</definedName>
    <definedName name="Term0635">Sheet2!$IB$2:$IB$57</definedName>
    <definedName name="Term0710">Sheet2!$BB$2:$BB$1048576</definedName>
    <definedName name="Term0711">Sheet2!$BC$2:$BC$1048576</definedName>
    <definedName name="Term0712">Sheet2!$BD$2:$BD$1048576</definedName>
    <definedName name="Term0713">Sheet2!$BE$2:$BE$1048576</definedName>
    <definedName name="Term0714">Sheet2!$BF$2:$BF$1048576</definedName>
    <definedName name="Term0715">Sheet2!$BG$2:$BG$1048576</definedName>
    <definedName name="Term0716">Sheet2!$BH$2:$BH$1048576</definedName>
    <definedName name="Term0717">Sheet2!$BI$2:$BI$1048576</definedName>
    <definedName name="Term0718">Sheet2!$BJ$2:$BJ$1048576</definedName>
    <definedName name="Term0719">Sheet2!$BK$2:$BK$1048576</definedName>
    <definedName name="Term0720">Sheet2!$BL$2:$BL$1048576</definedName>
    <definedName name="Term0721">Sheet2!$BM$2:$BM$1048576</definedName>
    <definedName name="Term0722">Sheet2!$BN$2:$BN$1048576</definedName>
    <definedName name="Term0723">Sheet2!$BO$2:$BO$1048576</definedName>
    <definedName name="Term0724">Sheet2!$BP$2:$BP$1048576</definedName>
    <definedName name="Term0910">Sheet2!$IC$2:$IC$57</definedName>
    <definedName name="Term0915">Sheet2!$ID$2:$ID$57</definedName>
    <definedName name="Term0920">Sheet2!$IE$2:$IE$57</definedName>
    <definedName name="Term0925">Sheet2!$IF$2:$IF$57</definedName>
    <definedName name="Term0930">Sheet2!$IG$2:$IG$57</definedName>
    <definedName name="Term0940">Sheet2!$IH$2:$IH$57</definedName>
    <definedName name="Term0950">Sheet2!$II$2:$II$57</definedName>
    <definedName name="Term1218">Sheet2!$IJ$2:$IJ$57</definedName>
    <definedName name="Term1221">Sheet2!$IK$2:$IK$57</definedName>
    <definedName name="Term1725">Sheet2!$IL$2:$IL$57</definedName>
    <definedName name="Term1726">Sheet2!$IM$2:$IM$57</definedName>
    <definedName name="Term1727">Sheet2!$IN$2:$IN$57</definedName>
    <definedName name="Term1728">Sheet2!$IO$2:$IO$57</definedName>
    <definedName name="Term1729">Sheet2!$IP$2:$IP$57</definedName>
    <definedName name="Term1730">Sheet2!$IQ$2:$IQ$57</definedName>
    <definedName name="Term1731">Sheet2!$IR$2:$IR$57</definedName>
    <definedName name="Term1732">Sheet2!$IS$2:$IS$57</definedName>
    <definedName name="Term1733">Sheet2!$IT$2:$IT$57</definedName>
    <definedName name="Term1734">Sheet2!$IU$2:$IU$57</definedName>
    <definedName name="Term1735">Sheet2!$IV$2:$IV$57</definedName>
    <definedName name="Term1736">Sheet2!$IW$2:$IW$57</definedName>
    <definedName name="Term1737">Sheet2!$IX$2:$IX$57</definedName>
    <definedName name="Term1738">Sheet2!$IY$2:$IY$57</definedName>
    <definedName name="Term1739">Sheet2!$IZ$2:$IZ$57</definedName>
    <definedName name="Term1740">Sheet2!$JA$2:$JA$57</definedName>
    <definedName name="Term1815">Sheet2!$JB$2:$JB$57</definedName>
    <definedName name="Term1820">Sheet2!$JC$2:$JC$57</definedName>
    <definedName name="Term1910">Sheet2!$BQ$2:$BQ$1048576</definedName>
    <definedName name="Term1915">Sheet2!$BR$2:$BR$1048576</definedName>
    <definedName name="Term1920">Sheet2!$BS$2:$BS$1048576</definedName>
    <definedName name="Term1925">Sheet2!$BT$2:$BT$1048576</definedName>
    <definedName name="Term1930">Sheet2!$BU$2:$BU$1048576</definedName>
    <definedName name="Term1935">Sheet2!$BV$2:$BV$1048576</definedName>
    <definedName name="Term2405">Sheet2!$JD$2:$JD$57</definedName>
    <definedName name="Term2406">Sheet2!$JE$2:$JE$57</definedName>
    <definedName name="Term2407">Sheet2!$JF$2:$JF$57</definedName>
    <definedName name="Term2408">Sheet2!$JG$2:$JG$57</definedName>
    <definedName name="Term2409">Sheet2!$JH$2:$JH$57</definedName>
    <definedName name="Term2410">Sheet2!$JI$2:$JI$57</definedName>
    <definedName name="Term2505">Sheet2!$JJ$2:$JJ$57</definedName>
    <definedName name="Term2506">Sheet2!$JK$2:$JK$57</definedName>
    <definedName name="Term2507">Sheet2!$JL$2:$JL$57</definedName>
    <definedName name="Term2508">Sheet2!$JM$2:$JM$57</definedName>
    <definedName name="Term2509">Sheet2!$JN$2:$JN$57</definedName>
    <definedName name="Term2510">Sheet2!$JO$2:$JO$57</definedName>
    <definedName name="Term3610">Sheet2!$BW$2:$BW$1048576</definedName>
    <definedName name="Term3615">Sheet2!$BX$2:$BX$1048576</definedName>
    <definedName name="Term3620">Sheet2!$BY$2:$BY$1048576</definedName>
    <definedName name="Term3625">Sheet2!$BZ$2:$BZ$1048576</definedName>
    <definedName name="Term74A12">Sheet2!$JP$2:$JP$57</definedName>
    <definedName name="Term74A15">Sheet2!$JQ$2:$JQ$57</definedName>
    <definedName name="Term74A18">Sheet2!$JR$2:$JR$57</definedName>
    <definedName name="Term74A21">Sheet2!$JS$2:$JS$57</definedName>
    <definedName name="Term74A24">Sheet2!$JT$2:$JT$57</definedName>
    <definedName name="Term74A27">Sheet2!$JU$2:$JU$57</definedName>
    <definedName name="Term74A30">Sheet2!$JV$2:$JV$57</definedName>
    <definedName name="Term74B12">Sheet2!$JW$2:$JW$57</definedName>
    <definedName name="Term74B15">Sheet2!$JX$2:$JX$57</definedName>
    <definedName name="Term74B18">Sheet2!$JY$2:$JY$57</definedName>
    <definedName name="Term74B21">Sheet2!$JZ$2:$JZ$57</definedName>
    <definedName name="Term74B24">Sheet2!$KA$2:$KA$57</definedName>
    <definedName name="Term74B27">Sheet2!$KB$2:$KB$57</definedName>
    <definedName name="Term74B30">Sheet2!$KC$2:$KC$57</definedName>
    <definedName name="Term7510">Sheet2!$CA$2:$CA$1048576</definedName>
    <definedName name="Term7511">Sheet2!$CB$2:$CB$1048576</definedName>
    <definedName name="Term7512">Sheet2!$CC$2:$CC$1048576</definedName>
    <definedName name="Term7513">Sheet2!$CD$2:$CD$1048576</definedName>
    <definedName name="Term7514">Sheet2!$CE$2:$CE$1048576</definedName>
    <definedName name="Term7515">Sheet2!$CF$2:$CF$1048576</definedName>
    <definedName name="Term7516">Sheet2!$CG$2:$CG$1048576</definedName>
    <definedName name="Term7517">Sheet2!$CH$2:$CH$1048576</definedName>
    <definedName name="Term7518">Sheet2!$CI$2:$CI$1048576</definedName>
    <definedName name="Term7519">Sheet2!$CJ$2:$CJ$1048576</definedName>
    <definedName name="Term7520">Sheet2!$CK$2:$CK$1048576</definedName>
    <definedName name="Term7521">Sheet2!$CL$2:$CL$1048576</definedName>
    <definedName name="Term7522">Sheet2!$CM$2:$CM$1048576</definedName>
    <definedName name="Term7523">Sheet2!$CN$2:$CN$1048576</definedName>
    <definedName name="Term7524">Sheet2!$CO$2:$CO$1048576</definedName>
    <definedName name="Term7610">Sheet2!$CP$2:$CP$1048576</definedName>
    <definedName name="Term7611">Sheet2!$CQ$2:$CQ$1048576</definedName>
    <definedName name="Term7612">Sheet2!$CR$2:$CR$1048576</definedName>
    <definedName name="Term7613">Sheet2!$CS$2:$CS$1048576</definedName>
    <definedName name="Term7614">Sheet2!$CT$2:$CT$1048576</definedName>
    <definedName name="Term7615">Sheet2!$CU$2:$CU$1048576</definedName>
    <definedName name="Term7616">Sheet2!$CV$2:$CV$1048576</definedName>
    <definedName name="Term7617">Sheet2!$CW$2:$CW$1048576</definedName>
    <definedName name="Term7618">Sheet2!$CX$2:$CX$1048576</definedName>
    <definedName name="Term7619">Sheet2!$CY$2:$CY$1048576</definedName>
    <definedName name="Term7620">Sheet2!$CZ$2:$CZ$1048576</definedName>
    <definedName name="Term7621">Sheet2!$DA$2:$DA$1048576</definedName>
    <definedName name="Term7622">Sheet2!$DB$2:$DB$1048576</definedName>
    <definedName name="Term7623">Sheet2!$DC$2:$DC$1048576</definedName>
    <definedName name="Term7624">Sheet2!$DD$2:$DD$1048576</definedName>
    <definedName name="Term7815">Sheet2!$DE$2:$DE$1048576</definedName>
    <definedName name="Term7816">Sheet2!$DF$2:$DF$1048576</definedName>
    <definedName name="Term7817">Sheet2!$DG$2:$DG$1048576</definedName>
    <definedName name="Term7818">Sheet2!$DH$2:$DH$1048576</definedName>
    <definedName name="Term7819">Sheet2!$DI$2:$DI$1048576</definedName>
    <definedName name="Term7820">Sheet2!$DJ$2:$DJ$1048576</definedName>
    <definedName name="Term7821">Sheet2!$DK$2:$DK$1048576</definedName>
    <definedName name="Term7822">Sheet2!$DL$2:$DL$1048576</definedName>
    <definedName name="Term7823">Sheet2!$DM$2:$DM$1048576</definedName>
    <definedName name="Term7824">Sheet2!$DN$2:$DN$1048576</definedName>
    <definedName name="Term7825">Sheet2!$DO$2:$DO$1048576</definedName>
    <definedName name="TIR10_">Sheet2!$FE$2:$FE$1048576</definedName>
    <definedName name="TIR11_">Sheet2!$FF$2:$FF$1048576</definedName>
    <definedName name="TIR12_">Sheet2!$FG$2:$FG$1048576</definedName>
    <definedName name="TIR13_">Sheet2!$FH$2:$FH$1048576</definedName>
    <definedName name="TIR14_">Sheet2!$FI$2:$FI$1048576</definedName>
    <definedName name="TIR15_">Sheet2!$FJ$2:$FJ$1048576</definedName>
    <definedName name="TIR16_">Sheet2!$FK$2:$FK$1048576</definedName>
    <definedName name="TIR17_">Sheet2!$FL$2:$FL$1048576</definedName>
    <definedName name="TIR18_">Sheet2!$FM$2:$FM$1048576</definedName>
    <definedName name="TIR19_">Sheet2!$FN$2:$FN$1048576</definedName>
    <definedName name="TIR20_">Sheet2!$FO$2:$FO$1048576</definedName>
    <definedName name="TIR21_">Sheet2!$FP$2:$FP$1048576</definedName>
    <definedName name="TIR22_">Sheet2!$FQ$2:$FQ$1048576</definedName>
    <definedName name="TIR23_">Sheet2!$FR$2:$FR$1048576</definedName>
    <definedName name="TIR24_">Sheet2!$FS$2:$FS$1048576</definedName>
    <definedName name="TIR25_">Sheet2!$FT$2:$FT$1048576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2" i="1" l="1"/>
  <c r="I8" i="1"/>
  <c r="I7" i="1"/>
  <c r="I6" i="1"/>
  <c r="I5" i="1"/>
  <c r="F62" i="4"/>
  <c r="F61" i="4"/>
  <c r="F60" i="4"/>
  <c r="L16" i="18"/>
  <c r="I8" i="18"/>
  <c r="H8" i="18"/>
  <c r="J8" i="18"/>
  <c r="F8" i="18"/>
  <c r="B24" i="18"/>
  <c r="K8" i="18"/>
  <c r="G8" i="18"/>
  <c r="B25" i="18"/>
  <c r="E166" i="1"/>
  <c r="D166" i="1"/>
  <c r="K10" i="18"/>
  <c r="F6" i="18"/>
  <c r="F5" i="18"/>
  <c r="G293" i="1"/>
  <c r="F293" i="1"/>
  <c r="E293" i="1" s="1"/>
  <c r="D293" i="1" s="1"/>
  <c r="C293" i="1" s="1"/>
  <c r="E12" i="1" s="1"/>
  <c r="H147" i="1"/>
  <c r="G147" i="1"/>
  <c r="F147" i="1" s="1"/>
  <c r="E147" i="1" s="1"/>
  <c r="D147" i="1" s="1"/>
  <c r="C147" i="1" s="1"/>
  <c r="C20" i="1" s="1"/>
  <c r="M3" i="1"/>
  <c r="C214" i="1"/>
  <c r="C7" i="1"/>
  <c r="I258" i="1"/>
  <c r="J258" i="1"/>
  <c r="G232" i="1"/>
  <c r="B232" i="1"/>
  <c r="C3" i="1"/>
  <c r="C317" i="1"/>
  <c r="C315" i="1"/>
  <c r="C273" i="1"/>
  <c r="C313" i="1"/>
  <c r="C311" i="1"/>
  <c r="C309" i="1"/>
  <c r="C303" i="1"/>
  <c r="E307" i="1"/>
  <c r="D307" i="1" s="1"/>
  <c r="C307" i="1" s="1"/>
  <c r="C297" i="1"/>
  <c r="D266" i="1"/>
  <c r="J257" i="1" s="1"/>
  <c r="J259" i="1"/>
  <c r="C305" i="1"/>
  <c r="C279" i="1"/>
  <c r="C299" i="1"/>
  <c r="C269" i="1"/>
  <c r="O20" i="1"/>
  <c r="H289" i="1"/>
  <c r="G289" i="1"/>
  <c r="F289" i="1" s="1"/>
  <c r="E289" i="1" s="1"/>
  <c r="D289" i="1" s="1"/>
  <c r="C289" i="1" s="1"/>
  <c r="E10" i="1" s="1"/>
  <c r="J10" i="1"/>
  <c r="H226" i="2"/>
  <c r="G226" i="2"/>
  <c r="F226" i="2"/>
  <c r="E226" i="2"/>
  <c r="D226" i="2"/>
  <c r="C226" i="2"/>
  <c r="E12" i="2"/>
  <c r="H19" i="13"/>
  <c r="H18" i="13"/>
  <c r="H17" i="13"/>
  <c r="C100" i="2"/>
  <c r="J14" i="2"/>
  <c r="B107" i="2"/>
  <c r="C101" i="1"/>
  <c r="J14" i="1"/>
  <c r="Z3" i="8"/>
  <c r="N16" i="8"/>
  <c r="E9" i="8"/>
  <c r="D62" i="8"/>
  <c r="C22" i="2"/>
  <c r="E7" i="7"/>
  <c r="E14" i="7"/>
  <c r="D8" i="7"/>
  <c r="E8" i="7"/>
  <c r="E9" i="7"/>
  <c r="B59" i="7" s="1"/>
  <c r="C14" i="7"/>
  <c r="C15" i="7"/>
  <c r="C16" i="7"/>
  <c r="C17" i="7"/>
  <c r="C18" i="7"/>
  <c r="C19" i="7"/>
  <c r="C20" i="7"/>
  <c r="C21" i="7"/>
  <c r="C22" i="7"/>
  <c r="C23" i="7"/>
  <c r="C24" i="7"/>
  <c r="C25" i="7"/>
  <c r="C26" i="7"/>
  <c r="C27" i="7"/>
  <c r="C28" i="7"/>
  <c r="C29" i="7"/>
  <c r="C30" i="7"/>
  <c r="C31" i="7"/>
  <c r="C32" i="7"/>
  <c r="C33" i="7"/>
  <c r="D8" i="8"/>
  <c r="G50" i="8"/>
  <c r="D9" i="8"/>
  <c r="E10" i="8"/>
  <c r="X3" i="8"/>
  <c r="D15" i="8"/>
  <c r="D16" i="8"/>
  <c r="D17" i="8"/>
  <c r="D18" i="8"/>
  <c r="D19" i="8"/>
  <c r="D20" i="8"/>
  <c r="D21" i="8"/>
  <c r="D22" i="8"/>
  <c r="D23" i="8"/>
  <c r="D24" i="8"/>
  <c r="D6" i="3"/>
  <c r="A28" i="3"/>
  <c r="E6" i="3"/>
  <c r="H3" i="4"/>
  <c r="G55" i="4"/>
  <c r="H4" i="4"/>
  <c r="H5" i="4"/>
  <c r="H6" i="4"/>
  <c r="F64" i="4"/>
  <c r="H7" i="4"/>
  <c r="E112" i="4" s="1"/>
  <c r="F46" i="4"/>
  <c r="F63" i="4"/>
  <c r="D3" i="5"/>
  <c r="F37" i="5"/>
  <c r="D4" i="5"/>
  <c r="D40" i="5"/>
  <c r="D5" i="5"/>
  <c r="D6" i="5"/>
  <c r="D50" i="5"/>
  <c r="D7" i="5"/>
  <c r="D108" i="5"/>
  <c r="D41" i="5"/>
  <c r="D58" i="5"/>
  <c r="C7" i="2"/>
  <c r="C8" i="2"/>
  <c r="C10" i="2"/>
  <c r="C11" i="2"/>
  <c r="C12" i="2"/>
  <c r="C13" i="2"/>
  <c r="C14" i="2"/>
  <c r="C15" i="2"/>
  <c r="E15" i="2"/>
  <c r="J16" i="2"/>
  <c r="B109" i="2"/>
  <c r="C17" i="2"/>
  <c r="J17" i="2"/>
  <c r="D110" i="2"/>
  <c r="C19" i="2"/>
  <c r="C20" i="2"/>
  <c r="C21" i="2"/>
  <c r="J21" i="2"/>
  <c r="B114" i="2"/>
  <c r="C23" i="2"/>
  <c r="C24" i="2"/>
  <c r="E24" i="2"/>
  <c r="J25" i="2"/>
  <c r="B118" i="2"/>
  <c r="C26" i="2"/>
  <c r="J26" i="2"/>
  <c r="D119" i="2"/>
  <c r="J13" i="2"/>
  <c r="B106" i="2"/>
  <c r="C130" i="2"/>
  <c r="B131" i="2"/>
  <c r="F131" i="2"/>
  <c r="J11" i="2"/>
  <c r="B104" i="2"/>
  <c r="C131" i="2"/>
  <c r="B139" i="2"/>
  <c r="F139" i="2"/>
  <c r="J19" i="2"/>
  <c r="B112" i="2"/>
  <c r="C139" i="2"/>
  <c r="B140" i="2"/>
  <c r="C140" i="2"/>
  <c r="C150" i="2"/>
  <c r="C151" i="2"/>
  <c r="D166" i="2"/>
  <c r="E166" i="2"/>
  <c r="D167" i="2"/>
  <c r="E167" i="2"/>
  <c r="D168" i="2"/>
  <c r="E168" i="2"/>
  <c r="E175" i="2"/>
  <c r="B175" i="2"/>
  <c r="C3" i="2"/>
  <c r="C190" i="2"/>
  <c r="F190" i="2"/>
  <c r="G190" i="2"/>
  <c r="D200" i="2"/>
  <c r="C202" i="2"/>
  <c r="I204" i="2"/>
  <c r="H204" i="2"/>
  <c r="G204" i="2"/>
  <c r="F204" i="2"/>
  <c r="E204" i="2"/>
  <c r="D204" i="2"/>
  <c r="C204" i="2"/>
  <c r="C206" i="2"/>
  <c r="E208" i="2"/>
  <c r="D208" i="2"/>
  <c r="C208" i="2"/>
  <c r="C212" i="2"/>
  <c r="E214" i="2"/>
  <c r="D214" i="2"/>
  <c r="C214" i="2"/>
  <c r="E216" i="2"/>
  <c r="D216" i="2"/>
  <c r="C216" i="2"/>
  <c r="D218" i="2"/>
  <c r="C218" i="2"/>
  <c r="C220" i="2"/>
  <c r="E16" i="2"/>
  <c r="H222" i="2"/>
  <c r="G222" i="2"/>
  <c r="F222" i="2"/>
  <c r="E222" i="2"/>
  <c r="D222" i="2"/>
  <c r="C222" i="2"/>
  <c r="E10" i="2"/>
  <c r="B130" i="2"/>
  <c r="D130" i="2"/>
  <c r="E224" i="2"/>
  <c r="D224" i="2"/>
  <c r="C224" i="2"/>
  <c r="E11" i="2"/>
  <c r="E228" i="2"/>
  <c r="D228" i="2"/>
  <c r="C228" i="2"/>
  <c r="E17" i="2"/>
  <c r="H234" i="2"/>
  <c r="G234" i="2"/>
  <c r="F234" i="2"/>
  <c r="E234" i="2"/>
  <c r="D234" i="2"/>
  <c r="C234" i="2"/>
  <c r="E19" i="2"/>
  <c r="E236" i="2"/>
  <c r="D236" i="2"/>
  <c r="C236" i="2"/>
  <c r="E20" i="2"/>
  <c r="D238" i="2"/>
  <c r="C238" i="2"/>
  <c r="E21" i="2"/>
  <c r="E240" i="2"/>
  <c r="D240" i="2"/>
  <c r="C240" i="2"/>
  <c r="E26" i="2"/>
  <c r="C242" i="2"/>
  <c r="E25" i="2"/>
  <c r="C10" i="1"/>
  <c r="C11" i="1"/>
  <c r="C12" i="1"/>
  <c r="C13" i="1"/>
  <c r="C14" i="1"/>
  <c r="C15" i="1"/>
  <c r="E15" i="1"/>
  <c r="J15" i="1"/>
  <c r="C17" i="1"/>
  <c r="G73" i="1"/>
  <c r="E74" i="1"/>
  <c r="F74" i="1"/>
  <c r="D75" i="1"/>
  <c r="E75" i="1"/>
  <c r="F75" i="1"/>
  <c r="D76" i="1"/>
  <c r="E76" i="1"/>
  <c r="F76" i="1"/>
  <c r="G76" i="1" s="1"/>
  <c r="D77" i="1"/>
  <c r="E77" i="1"/>
  <c r="F77" i="1"/>
  <c r="G77" i="1" s="1"/>
  <c r="G81" i="1"/>
  <c r="E82" i="1"/>
  <c r="F82" i="1"/>
  <c r="D83" i="1"/>
  <c r="E83" i="1"/>
  <c r="F83" i="1"/>
  <c r="D84" i="1"/>
  <c r="E84" i="1"/>
  <c r="F84" i="1"/>
  <c r="G88" i="1"/>
  <c r="F89" i="1"/>
  <c r="G89" i="1"/>
  <c r="F90" i="1"/>
  <c r="E91" i="1"/>
  <c r="F91" i="1"/>
  <c r="E92" i="1"/>
  <c r="F92" i="1"/>
  <c r="E96" i="1"/>
  <c r="F96" i="1"/>
  <c r="G96" i="1"/>
  <c r="J13" i="1"/>
  <c r="C207" i="1"/>
  <c r="C208" i="1"/>
  <c r="D205" i="1"/>
  <c r="D223" i="1"/>
  <c r="E223" i="1"/>
  <c r="D224" i="1"/>
  <c r="E224" i="1"/>
  <c r="D225" i="1"/>
  <c r="E225" i="1"/>
  <c r="C257" i="1"/>
  <c r="F257" i="1"/>
  <c r="G257" i="1" s="1"/>
  <c r="I271" i="1"/>
  <c r="H271" i="1"/>
  <c r="G271" i="1"/>
  <c r="F271" i="1"/>
  <c r="E271" i="1" s="1"/>
  <c r="D271" i="1"/>
  <c r="C271" i="1" s="1"/>
  <c r="C267" i="1" s="1"/>
  <c r="E18" i="1" s="1"/>
  <c r="E275" i="1"/>
  <c r="D275" i="1" s="1"/>
  <c r="C275" i="1" s="1"/>
  <c r="E281" i="1"/>
  <c r="D281" i="1"/>
  <c r="C281" i="1" s="1"/>
  <c r="E283" i="1"/>
  <c r="D283" i="1" s="1"/>
  <c r="C283" i="1" s="1"/>
  <c r="D285" i="1"/>
  <c r="C285" i="1"/>
  <c r="C287" i="1"/>
  <c r="E16" i="1"/>
  <c r="J16" i="1"/>
  <c r="E291" i="1"/>
  <c r="D291" i="1" s="1"/>
  <c r="C291" i="1" s="1"/>
  <c r="E11" i="1" s="1"/>
  <c r="J11" i="1"/>
  <c r="E295" i="1"/>
  <c r="D295" i="1"/>
  <c r="C295" i="1" s="1"/>
  <c r="E17" i="1" s="1"/>
  <c r="J24" i="2"/>
  <c r="B117" i="2"/>
  <c r="J23" i="2"/>
  <c r="B116" i="2"/>
  <c r="J15" i="2"/>
  <c r="B108" i="2"/>
  <c r="J22" i="2"/>
  <c r="B115" i="2"/>
  <c r="D139" i="2"/>
  <c r="E139" i="2"/>
  <c r="F6" i="3"/>
  <c r="E8" i="3"/>
  <c r="F140" i="2"/>
  <c r="J20" i="2"/>
  <c r="B113" i="2"/>
  <c r="C148" i="2"/>
  <c r="D148" i="2"/>
  <c r="F47" i="4"/>
  <c r="J12" i="2"/>
  <c r="B105" i="2"/>
  <c r="C301" i="1"/>
  <c r="D267" i="1"/>
  <c r="J17" i="1"/>
  <c r="B26" i="18"/>
  <c r="F55" i="4"/>
  <c r="D131" i="2"/>
  <c r="E131" i="2"/>
  <c r="F166" i="2"/>
  <c r="D140" i="2"/>
  <c r="E140" i="2"/>
  <c r="D150" i="2"/>
  <c r="G82" i="1"/>
  <c r="G74" i="1"/>
  <c r="G46" i="4"/>
  <c r="E73" i="4"/>
  <c r="D42" i="5"/>
  <c r="D59" i="5"/>
  <c r="H62" i="8"/>
  <c r="N24" i="8"/>
  <c r="O24" i="8"/>
  <c r="P24" i="8"/>
  <c r="Q24" i="8" s="1"/>
  <c r="N22" i="8"/>
  <c r="N15" i="8"/>
  <c r="N23" i="8"/>
  <c r="N20" i="8"/>
  <c r="N18" i="8"/>
  <c r="N19" i="8"/>
  <c r="N17" i="8"/>
  <c r="N21" i="8"/>
  <c r="K22" i="18"/>
  <c r="B20" i="18"/>
  <c r="B23" i="18"/>
  <c r="K20" i="18"/>
  <c r="B22" i="18"/>
  <c r="E47" i="5"/>
  <c r="L57" i="8"/>
  <c r="G51" i="8"/>
  <c r="D38" i="5"/>
  <c r="E52" i="4"/>
  <c r="C41" i="5"/>
  <c r="E72" i="4"/>
  <c r="K23" i="18"/>
  <c r="B21" i="18"/>
  <c r="B17" i="18"/>
  <c r="K21" i="18"/>
  <c r="B19" i="18"/>
  <c r="E59" i="5"/>
  <c r="E49" i="5"/>
  <c r="X5" i="8"/>
  <c r="Y5" i="8"/>
  <c r="G52" i="4"/>
  <c r="F166" i="1"/>
  <c r="L25" i="18"/>
  <c r="K25" i="18"/>
  <c r="G47" i="4"/>
  <c r="F223" i="1"/>
  <c r="J224" i="1"/>
  <c r="J226" i="1"/>
  <c r="C8" i="1"/>
  <c r="C205" i="1"/>
  <c r="D207" i="1" s="1"/>
  <c r="F150" i="2"/>
  <c r="E150" i="2"/>
  <c r="E145" i="2"/>
  <c r="C210" i="2"/>
  <c r="C200" i="2"/>
  <c r="E28" i="2"/>
  <c r="J8" i="2"/>
  <c r="G84" i="1"/>
  <c r="F130" i="2"/>
  <c r="J10" i="2"/>
  <c r="B103" i="2"/>
  <c r="E130" i="2"/>
  <c r="C277" i="1"/>
  <c r="D193" i="2"/>
  <c r="B101" i="2"/>
  <c r="D101" i="2"/>
  <c r="D121" i="2"/>
  <c r="J5" i="2"/>
  <c r="J12" i="1"/>
  <c r="J6" i="2"/>
  <c r="J7" i="2"/>
  <c r="E38" i="8"/>
  <c r="E46" i="8"/>
  <c r="E54" i="8"/>
  <c r="L42" i="8"/>
  <c r="L48" i="8"/>
  <c r="L53" i="8"/>
  <c r="S38" i="8"/>
  <c r="T38" i="8"/>
  <c r="M40" i="8"/>
  <c r="M42" i="8"/>
  <c r="R42" i="8" s="1"/>
  <c r="M44" i="8"/>
  <c r="M46" i="8"/>
  <c r="M48" i="8"/>
  <c r="S49" i="8"/>
  <c r="T49" i="8" s="1"/>
  <c r="M52" i="8"/>
  <c r="M54" i="8"/>
  <c r="F75" i="4"/>
  <c r="C50" i="5"/>
  <c r="C40" i="5"/>
  <c r="D47" i="5"/>
  <c r="G83" i="1"/>
  <c r="G63" i="4"/>
  <c r="G44" i="4"/>
  <c r="I71" i="4"/>
  <c r="S53" i="8"/>
  <c r="T53" i="8"/>
  <c r="S51" i="8"/>
  <c r="T51" i="8" s="1"/>
  <c r="M50" i="8"/>
  <c r="S47" i="8"/>
  <c r="T47" i="8"/>
  <c r="S45" i="8"/>
  <c r="T45" i="8"/>
  <c r="S43" i="8"/>
  <c r="T43" i="8"/>
  <c r="S41" i="8"/>
  <c r="T41" i="8"/>
  <c r="S39" i="8"/>
  <c r="T39" i="8"/>
  <c r="M38" i="8"/>
  <c r="L52" i="8"/>
  <c r="L46" i="8"/>
  <c r="L40" i="8"/>
  <c r="E52" i="8"/>
  <c r="E44" i="8"/>
  <c r="C49" i="5"/>
  <c r="D49" i="8"/>
  <c r="C25" i="8"/>
  <c r="N25" i="8"/>
  <c r="H40" i="8"/>
  <c r="C42" i="5"/>
  <c r="C41" i="8"/>
  <c r="G55" i="8"/>
  <c r="C39" i="5"/>
  <c r="D45" i="8"/>
  <c r="C29" i="8"/>
  <c r="N29" i="8"/>
  <c r="O29" i="8"/>
  <c r="P29" i="8"/>
  <c r="Q29" i="8" s="1"/>
  <c r="H49" i="8"/>
  <c r="D39" i="5"/>
  <c r="G48" i="8"/>
  <c r="S56" i="8"/>
  <c r="T56" i="8"/>
  <c r="C48" i="5"/>
  <c r="C47" i="5"/>
  <c r="F47" i="5"/>
  <c r="M53" i="8"/>
  <c r="R53" i="8"/>
  <c r="M51" i="8"/>
  <c r="R51" i="8" s="1"/>
  <c r="M49" i="8"/>
  <c r="R49" i="8" s="1"/>
  <c r="M47" i="8"/>
  <c r="R47" i="8"/>
  <c r="M45" i="8"/>
  <c r="R45" i="8"/>
  <c r="M43" i="8"/>
  <c r="M41" i="8"/>
  <c r="M39" i="8"/>
  <c r="R39" i="8"/>
  <c r="L50" i="8"/>
  <c r="L45" i="8"/>
  <c r="L38" i="8"/>
  <c r="E50" i="8"/>
  <c r="E42" i="8"/>
  <c r="S54" i="8"/>
  <c r="T54" i="8" s="1"/>
  <c r="S52" i="8"/>
  <c r="T52" i="8"/>
  <c r="S50" i="8"/>
  <c r="T50" i="8" s="1"/>
  <c r="S48" i="8"/>
  <c r="T48" i="8"/>
  <c r="S46" i="8"/>
  <c r="T46" i="8" s="1"/>
  <c r="S44" i="8"/>
  <c r="T44" i="8"/>
  <c r="S42" i="8"/>
  <c r="T42" i="8" s="1"/>
  <c r="S40" i="8"/>
  <c r="T40" i="8"/>
  <c r="L54" i="8"/>
  <c r="L49" i="8"/>
  <c r="L44" i="8"/>
  <c r="E48" i="8"/>
  <c r="E40" i="8"/>
  <c r="D48" i="5"/>
  <c r="C38" i="5"/>
  <c r="D25" i="8"/>
  <c r="D26" i="8"/>
  <c r="D27" i="8"/>
  <c r="D28" i="8"/>
  <c r="D29" i="8"/>
  <c r="H44" i="8"/>
  <c r="C39" i="8"/>
  <c r="D49" i="5"/>
  <c r="G75" i="1"/>
  <c r="O15" i="8"/>
  <c r="P15" i="8"/>
  <c r="Q15" i="8"/>
  <c r="O17" i="8"/>
  <c r="P17" i="8"/>
  <c r="Q17" i="8" s="1"/>
  <c r="O21" i="8"/>
  <c r="P21" i="8"/>
  <c r="Q21" i="8"/>
  <c r="G72" i="4"/>
  <c r="E41" i="5"/>
  <c r="F54" i="5"/>
  <c r="E38" i="5"/>
  <c r="F38" i="5" s="1"/>
  <c r="G60" i="4"/>
  <c r="I51" i="4"/>
  <c r="G62" i="4"/>
  <c r="E39" i="5"/>
  <c r="F39" i="5"/>
  <c r="G61" i="4"/>
  <c r="F46" i="5"/>
  <c r="G43" i="4"/>
  <c r="G64" i="4"/>
  <c r="I42" i="4"/>
  <c r="E40" i="5"/>
  <c r="F40" i="5" s="1"/>
  <c r="E48" i="5"/>
  <c r="E56" i="5"/>
  <c r="E58" i="5"/>
  <c r="G75" i="4"/>
  <c r="I75" i="4" s="1"/>
  <c r="I76" i="4" s="1"/>
  <c r="O22" i="8"/>
  <c r="P22" i="8"/>
  <c r="Q22" i="8"/>
  <c r="O23" i="8"/>
  <c r="P23" i="8"/>
  <c r="Q23" i="8"/>
  <c r="G45" i="4"/>
  <c r="E50" i="5"/>
  <c r="F50" i="5" s="1"/>
  <c r="G54" i="4"/>
  <c r="E57" i="5"/>
  <c r="G73" i="4"/>
  <c r="E42" i="5"/>
  <c r="F42" i="5" s="1"/>
  <c r="I59" i="4"/>
  <c r="E55" i="5"/>
  <c r="G53" i="4"/>
  <c r="E7" i="18"/>
  <c r="C6" i="7"/>
  <c r="D7" i="8"/>
  <c r="R54" i="8"/>
  <c r="R52" i="8"/>
  <c r="R50" i="8"/>
  <c r="R44" i="8"/>
  <c r="R40" i="8"/>
  <c r="F41" i="5"/>
  <c r="R38" i="8"/>
  <c r="O18" i="8"/>
  <c r="P18" i="8"/>
  <c r="Q18" i="8" s="1"/>
  <c r="O20" i="8"/>
  <c r="P20" i="8"/>
  <c r="Q20" i="8" s="1"/>
  <c r="O16" i="8"/>
  <c r="P16" i="8"/>
  <c r="Q16" i="8"/>
  <c r="O25" i="8"/>
  <c r="P25" i="8"/>
  <c r="Q25" i="8"/>
  <c r="R48" i="8"/>
  <c r="R46" i="8"/>
  <c r="R43" i="8"/>
  <c r="R41" i="8"/>
  <c r="O19" i="8"/>
  <c r="P19" i="8"/>
  <c r="Q19" i="8"/>
  <c r="G85" i="1"/>
  <c r="F15" i="8"/>
  <c r="F16" i="8"/>
  <c r="F17" i="8"/>
  <c r="D57" i="8"/>
  <c r="C55" i="8"/>
  <c r="G43" i="8"/>
  <c r="M59" i="8"/>
  <c r="R59" i="8"/>
  <c r="G56" i="8"/>
  <c r="C28" i="8"/>
  <c r="H50" i="8"/>
  <c r="C50" i="8"/>
  <c r="M57" i="8"/>
  <c r="R57" i="8"/>
  <c r="H43" i="8"/>
  <c r="H46" i="8"/>
  <c r="C44" i="8"/>
  <c r="N44" i="8"/>
  <c r="O44" i="8"/>
  <c r="P44" i="8"/>
  <c r="E56" i="8"/>
  <c r="H54" i="8"/>
  <c r="G42" i="8"/>
  <c r="G38" i="8"/>
  <c r="S59" i="8"/>
  <c r="T59" i="8"/>
  <c r="H56" i="8"/>
  <c r="H48" i="8"/>
  <c r="H41" i="8"/>
  <c r="C38" i="8"/>
  <c r="C47" i="8"/>
  <c r="I20" i="8"/>
  <c r="I21" i="8"/>
  <c r="C31" i="8"/>
  <c r="N31" i="8"/>
  <c r="O31" i="8"/>
  <c r="P31" i="8"/>
  <c r="C46" i="8"/>
  <c r="C56" i="8"/>
  <c r="D30" i="8"/>
  <c r="D31" i="8"/>
  <c r="D32" i="8"/>
  <c r="D33" i="8"/>
  <c r="D34" i="8"/>
  <c r="D35" i="8"/>
  <c r="D36" i="8"/>
  <c r="D37" i="8"/>
  <c r="D38" i="8"/>
  <c r="D42" i="8"/>
  <c r="D46" i="8"/>
  <c r="D50" i="8"/>
  <c r="D54" i="8"/>
  <c r="G52" i="8"/>
  <c r="E39" i="8"/>
  <c r="E43" i="8"/>
  <c r="E47" i="8"/>
  <c r="E51" i="8"/>
  <c r="L41" i="8"/>
  <c r="AA7" i="8"/>
  <c r="C59" i="8"/>
  <c r="Q59" i="8"/>
  <c r="G53" i="8"/>
  <c r="L58" i="8"/>
  <c r="G47" i="8"/>
  <c r="C37" i="8"/>
  <c r="H59" i="8"/>
  <c r="G41" i="8"/>
  <c r="H58" i="8"/>
  <c r="C32" i="8"/>
  <c r="N32" i="8"/>
  <c r="C53" i="8"/>
  <c r="M58" i="8"/>
  <c r="R58" i="8" s="1"/>
  <c r="L59" i="8"/>
  <c r="H51" i="8"/>
  <c r="H42" i="8"/>
  <c r="H38" i="8"/>
  <c r="S57" i="8"/>
  <c r="T57" i="8"/>
  <c r="L55" i="8"/>
  <c r="G45" i="8"/>
  <c r="H39" i="8"/>
  <c r="C43" i="8"/>
  <c r="C27" i="8"/>
  <c r="N27" i="8"/>
  <c r="O27" i="8"/>
  <c r="P27" i="8"/>
  <c r="Q27" i="8"/>
  <c r="C26" i="8"/>
  <c r="D56" i="8"/>
  <c r="C36" i="8"/>
  <c r="C33" i="8"/>
  <c r="N33" i="8"/>
  <c r="O33" i="8"/>
  <c r="P33" i="8"/>
  <c r="Q33" i="8"/>
  <c r="C35" i="8"/>
  <c r="C49" i="8"/>
  <c r="N49" i="8"/>
  <c r="O49" i="8"/>
  <c r="P49" i="8"/>
  <c r="D39" i="8"/>
  <c r="D43" i="8"/>
  <c r="D47" i="8"/>
  <c r="D51" i="8"/>
  <c r="H52" i="8"/>
  <c r="G59" i="8"/>
  <c r="M55" i="8"/>
  <c r="R55" i="8" s="1"/>
  <c r="G44" i="8"/>
  <c r="E58" i="8"/>
  <c r="H57" i="8"/>
  <c r="H47" i="8"/>
  <c r="H55" i="8"/>
  <c r="C54" i="8"/>
  <c r="L56" i="8"/>
  <c r="I15" i="8"/>
  <c r="G57" i="8"/>
  <c r="G49" i="8"/>
  <c r="G40" i="8"/>
  <c r="E59" i="8"/>
  <c r="S55" i="8"/>
  <c r="T55" i="8"/>
  <c r="H53" i="8"/>
  <c r="H45" i="8"/>
  <c r="C30" i="8"/>
  <c r="N30" i="8"/>
  <c r="O30" i="8"/>
  <c r="P30" i="8"/>
  <c r="C48" i="8"/>
  <c r="C42" i="8"/>
  <c r="C52" i="8"/>
  <c r="D59" i="8"/>
  <c r="C51" i="8"/>
  <c r="F20" i="8"/>
  <c r="D40" i="8"/>
  <c r="D44" i="8"/>
  <c r="D48" i="8"/>
  <c r="D52" i="8"/>
  <c r="O32" i="8"/>
  <c r="P32" i="8"/>
  <c r="Q32" i="8" s="1"/>
  <c r="E41" i="8"/>
  <c r="E45" i="8"/>
  <c r="E49" i="8"/>
  <c r="E53" i="8"/>
  <c r="L39" i="8"/>
  <c r="L43" i="8"/>
  <c r="L47" i="8"/>
  <c r="L51" i="8"/>
  <c r="F72" i="4"/>
  <c r="I72" i="4"/>
  <c r="D41" i="8"/>
  <c r="C40" i="8"/>
  <c r="C45" i="8"/>
  <c r="C57" i="8"/>
  <c r="G58" i="8"/>
  <c r="G54" i="8"/>
  <c r="G46" i="8"/>
  <c r="E57" i="8"/>
  <c r="S58" i="8"/>
  <c r="T58" i="8"/>
  <c r="E44" i="4"/>
  <c r="F44" i="4"/>
  <c r="E54" i="4"/>
  <c r="E74" i="4"/>
  <c r="E53" i="4"/>
  <c r="E75" i="4"/>
  <c r="E45" i="4"/>
  <c r="E43" i="4"/>
  <c r="F53" i="4"/>
  <c r="I53" i="4"/>
  <c r="F54" i="4"/>
  <c r="F43" i="4"/>
  <c r="F52" i="4"/>
  <c r="F113" i="4"/>
  <c r="G113" i="4"/>
  <c r="F45" i="4"/>
  <c r="I52" i="4"/>
  <c r="D53" i="8"/>
  <c r="D55" i="8"/>
  <c r="C58" i="8"/>
  <c r="D58" i="8"/>
  <c r="E55" i="8"/>
  <c r="M56" i="8"/>
  <c r="R56" i="8"/>
  <c r="C34" i="8"/>
  <c r="N34" i="8"/>
  <c r="O34" i="8"/>
  <c r="P34" i="8"/>
  <c r="Q34" i="8"/>
  <c r="G39" i="8"/>
  <c r="F73" i="4"/>
  <c r="I73" i="4"/>
  <c r="N41" i="8"/>
  <c r="O41" i="8"/>
  <c r="P41" i="8"/>
  <c r="Q41" i="8"/>
  <c r="E108" i="5"/>
  <c r="F108" i="5"/>
  <c r="C56" i="5"/>
  <c r="F56" i="5"/>
  <c r="C55" i="5"/>
  <c r="F55" i="5"/>
  <c r="C57" i="5"/>
  <c r="F57" i="5"/>
  <c r="D91" i="1"/>
  <c r="G91" i="1" s="1"/>
  <c r="D92" i="1"/>
  <c r="G92" i="1" s="1"/>
  <c r="D90" i="1"/>
  <c r="G90" i="1"/>
  <c r="J20" i="8"/>
  <c r="K20" i="8"/>
  <c r="N59" i="8"/>
  <c r="O59" i="8"/>
  <c r="P59" i="8"/>
  <c r="Q44" i="8"/>
  <c r="E15" i="7"/>
  <c r="F14" i="7"/>
  <c r="G14" i="7" s="1"/>
  <c r="N35" i="8"/>
  <c r="O35" i="8"/>
  <c r="P35" i="8"/>
  <c r="G78" i="1"/>
  <c r="E63" i="7"/>
  <c r="E30" i="7"/>
  <c r="E19" i="7"/>
  <c r="D18" i="1"/>
  <c r="F49" i="5"/>
  <c r="Q31" i="8"/>
  <c r="I44" i="4"/>
  <c r="G16" i="8"/>
  <c r="H16" i="8"/>
  <c r="L16" i="8" s="1"/>
  <c r="L17" i="8" s="1"/>
  <c r="G15" i="8"/>
  <c r="H15" i="8"/>
  <c r="L15" i="8"/>
  <c r="Q35" i="8"/>
  <c r="Q30" i="8"/>
  <c r="F48" i="5"/>
  <c r="N39" i="8"/>
  <c r="O39" i="8"/>
  <c r="P39" i="8"/>
  <c r="Q39" i="8"/>
  <c r="E47" i="4"/>
  <c r="I47" i="4"/>
  <c r="E46" i="4"/>
  <c r="I46" i="4"/>
  <c r="I48" i="4" s="1"/>
  <c r="H8" i="4" s="1"/>
  <c r="E19" i="1" s="1"/>
  <c r="T7" i="8" s="1"/>
  <c r="E55" i="4"/>
  <c r="I55" i="4"/>
  <c r="I54" i="4"/>
  <c r="I56" i="4"/>
  <c r="Q42" i="8"/>
  <c r="N42" i="8"/>
  <c r="O42" i="8"/>
  <c r="P42" i="8"/>
  <c r="Q49" i="8"/>
  <c r="Q58" i="8"/>
  <c r="N58" i="8"/>
  <c r="O58" i="8"/>
  <c r="P58" i="8"/>
  <c r="I45" i="4"/>
  <c r="I74" i="4"/>
  <c r="J15" i="8"/>
  <c r="K15" i="8"/>
  <c r="M15" i="8"/>
  <c r="M16" i="8" s="1"/>
  <c r="R15" i="8"/>
  <c r="S15" i="8" s="1"/>
  <c r="T15" i="8" s="1"/>
  <c r="I16" i="8"/>
  <c r="N37" i="8"/>
  <c r="O37" i="8"/>
  <c r="P37" i="8"/>
  <c r="Q37" i="8"/>
  <c r="Q45" i="8"/>
  <c r="N45" i="8"/>
  <c r="O45" i="8"/>
  <c r="P45" i="8"/>
  <c r="Q57" i="8"/>
  <c r="N57" i="8"/>
  <c r="O57" i="8"/>
  <c r="P57" i="8"/>
  <c r="Q52" i="8"/>
  <c r="N52" i="8"/>
  <c r="O52" i="8"/>
  <c r="P52" i="8"/>
  <c r="N36" i="8"/>
  <c r="O36" i="8"/>
  <c r="P36" i="8"/>
  <c r="Q36" i="8"/>
  <c r="N43" i="8"/>
  <c r="O43" i="8"/>
  <c r="P43" i="8"/>
  <c r="Q43" i="8"/>
  <c r="F31" i="8"/>
  <c r="I31" i="8"/>
  <c r="Q56" i="8"/>
  <c r="N56" i="8"/>
  <c r="O56" i="8"/>
  <c r="P56" i="8"/>
  <c r="Q47" i="8"/>
  <c r="N47" i="8"/>
  <c r="O47" i="8"/>
  <c r="P47" i="8"/>
  <c r="N28" i="8"/>
  <c r="O28" i="8"/>
  <c r="P28" i="8"/>
  <c r="Q28" i="8" s="1"/>
  <c r="Q55" i="8"/>
  <c r="N55" i="8"/>
  <c r="O55" i="8"/>
  <c r="P55" i="8"/>
  <c r="F21" i="8"/>
  <c r="G20" i="8"/>
  <c r="H20" i="8"/>
  <c r="Q54" i="8"/>
  <c r="N54" i="8"/>
  <c r="O54" i="8"/>
  <c r="P54" i="8"/>
  <c r="N46" i="8"/>
  <c r="O46" i="8"/>
  <c r="P46" i="8"/>
  <c r="Q46" i="8"/>
  <c r="Q38" i="8"/>
  <c r="N38" i="8"/>
  <c r="O38" i="8"/>
  <c r="P38" i="8"/>
  <c r="I43" i="4"/>
  <c r="Q40" i="8"/>
  <c r="N40" i="8"/>
  <c r="O40" i="8"/>
  <c r="P40" i="8"/>
  <c r="Q51" i="8"/>
  <c r="N51" i="8"/>
  <c r="O51" i="8"/>
  <c r="P51" i="8"/>
  <c r="Q48" i="8"/>
  <c r="N48" i="8"/>
  <c r="O48" i="8"/>
  <c r="P48" i="8"/>
  <c r="N26" i="8"/>
  <c r="O26" i="8"/>
  <c r="P26" i="8"/>
  <c r="Q26" i="8" s="1"/>
  <c r="Q53" i="8"/>
  <c r="N53" i="8"/>
  <c r="O53" i="8"/>
  <c r="P53" i="8"/>
  <c r="Q50" i="8"/>
  <c r="N50" i="8"/>
  <c r="O50" i="8"/>
  <c r="P50" i="8"/>
  <c r="C59" i="5"/>
  <c r="F59" i="5" s="1"/>
  <c r="C58" i="5"/>
  <c r="F58" i="5" s="1"/>
  <c r="F19" i="7"/>
  <c r="E20" i="7"/>
  <c r="F15" i="7"/>
  <c r="E16" i="7"/>
  <c r="E31" i="7"/>
  <c r="F30" i="7"/>
  <c r="G17" i="8"/>
  <c r="H17" i="8"/>
  <c r="F18" i="8"/>
  <c r="I22" i="8"/>
  <c r="J21" i="8"/>
  <c r="K21" i="8"/>
  <c r="I32" i="8"/>
  <c r="J31" i="8"/>
  <c r="K31" i="8"/>
  <c r="F32" i="8"/>
  <c r="G31" i="8"/>
  <c r="H31" i="8"/>
  <c r="F22" i="8"/>
  <c r="G21" i="8"/>
  <c r="H21" i="8"/>
  <c r="L21" i="8" s="1"/>
  <c r="L22" i="8" s="1"/>
  <c r="L23" i="8" s="1"/>
  <c r="L24" i="8" s="1"/>
  <c r="J16" i="8"/>
  <c r="K16" i="8"/>
  <c r="I17" i="8"/>
  <c r="G18" i="8"/>
  <c r="H18" i="8"/>
  <c r="L18" i="8" s="1"/>
  <c r="L19" i="8" s="1"/>
  <c r="F19" i="8"/>
  <c r="G19" i="8"/>
  <c r="H19" i="8"/>
  <c r="E32" i="7"/>
  <c r="F31" i="7"/>
  <c r="E21" i="7"/>
  <c r="F20" i="7"/>
  <c r="E17" i="7"/>
  <c r="F16" i="7"/>
  <c r="J22" i="8"/>
  <c r="K22" i="8"/>
  <c r="I23" i="8"/>
  <c r="L20" i="8"/>
  <c r="F33" i="8"/>
  <c r="G32" i="8"/>
  <c r="H32" i="8"/>
  <c r="G22" i="8"/>
  <c r="H22" i="8"/>
  <c r="F23" i="8"/>
  <c r="I18" i="8"/>
  <c r="J17" i="8"/>
  <c r="K17" i="8"/>
  <c r="I33" i="8"/>
  <c r="J32" i="8"/>
  <c r="K32" i="8"/>
  <c r="J23" i="8"/>
  <c r="K23" i="8"/>
  <c r="I24" i="8"/>
  <c r="E18" i="7"/>
  <c r="F18" i="7"/>
  <c r="F17" i="7"/>
  <c r="F21" i="7"/>
  <c r="E22" i="7"/>
  <c r="E33" i="7"/>
  <c r="F33" i="7"/>
  <c r="F32" i="7"/>
  <c r="E35" i="8"/>
  <c r="E36" i="8"/>
  <c r="E37" i="8"/>
  <c r="J33" i="8"/>
  <c r="K33" i="8"/>
  <c r="I34" i="8"/>
  <c r="I19" i="8"/>
  <c r="J19" i="8"/>
  <c r="K19" i="8"/>
  <c r="J18" i="8"/>
  <c r="K18" i="8"/>
  <c r="F34" i="8"/>
  <c r="G33" i="8"/>
  <c r="H33" i="8"/>
  <c r="F24" i="8"/>
  <c r="G23" i="8"/>
  <c r="H23" i="8"/>
  <c r="E23" i="7"/>
  <c r="F22" i="7"/>
  <c r="I25" i="8"/>
  <c r="J24" i="8"/>
  <c r="K24" i="8"/>
  <c r="G24" i="8"/>
  <c r="H24" i="8"/>
  <c r="F25" i="8"/>
  <c r="F35" i="8"/>
  <c r="G34" i="8"/>
  <c r="H34" i="8"/>
  <c r="J34" i="8"/>
  <c r="K34" i="8"/>
  <c r="I35" i="8"/>
  <c r="F23" i="7"/>
  <c r="E24" i="7"/>
  <c r="J25" i="8"/>
  <c r="K25" i="8"/>
  <c r="I26" i="8"/>
  <c r="F36" i="8"/>
  <c r="G35" i="8"/>
  <c r="H35" i="8"/>
  <c r="J35" i="8"/>
  <c r="K35" i="8"/>
  <c r="I36" i="8"/>
  <c r="F26" i="8"/>
  <c r="G25" i="8"/>
  <c r="H25" i="8"/>
  <c r="L25" i="8"/>
  <c r="L26" i="8" s="1"/>
  <c r="L27" i="8" s="1"/>
  <c r="L28" i="8" s="1"/>
  <c r="I27" i="8"/>
  <c r="J26" i="8"/>
  <c r="K26" i="8"/>
  <c r="E25" i="7"/>
  <c r="F24" i="7"/>
  <c r="F37" i="8"/>
  <c r="G36" i="8"/>
  <c r="H36" i="8"/>
  <c r="F27" i="8"/>
  <c r="G26" i="8"/>
  <c r="H26" i="8"/>
  <c r="J36" i="8"/>
  <c r="K36" i="8"/>
  <c r="I37" i="8"/>
  <c r="F25" i="7"/>
  <c r="E26" i="7"/>
  <c r="I28" i="8"/>
  <c r="J27" i="8"/>
  <c r="K27" i="8"/>
  <c r="F38" i="8"/>
  <c r="F39" i="8"/>
  <c r="F40" i="8"/>
  <c r="F41" i="8"/>
  <c r="F42" i="8"/>
  <c r="F43" i="8"/>
  <c r="F44" i="8"/>
  <c r="F45" i="8"/>
  <c r="F46" i="8"/>
  <c r="F47" i="8"/>
  <c r="F48" i="8"/>
  <c r="F49" i="8"/>
  <c r="F50" i="8"/>
  <c r="F51" i="8"/>
  <c r="F52" i="8"/>
  <c r="F53" i="8"/>
  <c r="F54" i="8"/>
  <c r="F55" i="8"/>
  <c r="F56" i="8"/>
  <c r="F57" i="8"/>
  <c r="F58" i="8"/>
  <c r="F59" i="8"/>
  <c r="G37" i="8"/>
  <c r="H37" i="8"/>
  <c r="F28" i="8"/>
  <c r="G27" i="8"/>
  <c r="H27" i="8"/>
  <c r="J37" i="8"/>
  <c r="K37" i="8"/>
  <c r="I38" i="8"/>
  <c r="J28" i="8"/>
  <c r="K28" i="8"/>
  <c r="I29" i="8"/>
  <c r="F26" i="7"/>
  <c r="E27" i="7"/>
  <c r="G28" i="8"/>
  <c r="H28" i="8"/>
  <c r="F29" i="8"/>
  <c r="I39" i="8"/>
  <c r="J38" i="8"/>
  <c r="K38" i="8"/>
  <c r="E28" i="7"/>
  <c r="F27" i="7"/>
  <c r="J29" i="8"/>
  <c r="K29" i="8"/>
  <c r="I30" i="8"/>
  <c r="J30" i="8"/>
  <c r="K30" i="8"/>
  <c r="G29" i="8"/>
  <c r="H29" i="8"/>
  <c r="F30" i="8"/>
  <c r="G30" i="8"/>
  <c r="H30" i="8"/>
  <c r="J39" i="8"/>
  <c r="K39" i="8"/>
  <c r="I40" i="8"/>
  <c r="E29" i="7"/>
  <c r="F29" i="7"/>
  <c r="F28" i="7"/>
  <c r="I41" i="8"/>
  <c r="J40" i="8"/>
  <c r="K40" i="8"/>
  <c r="L35" i="8"/>
  <c r="L36" i="8"/>
  <c r="L37" i="8"/>
  <c r="J41" i="8"/>
  <c r="K41" i="8"/>
  <c r="I42" i="8"/>
  <c r="J42" i="8"/>
  <c r="K42" i="8"/>
  <c r="I43" i="8"/>
  <c r="J43" i="8"/>
  <c r="K43" i="8"/>
  <c r="I44" i="8"/>
  <c r="I45" i="8"/>
  <c r="J44" i="8"/>
  <c r="K44" i="8"/>
  <c r="J45" i="8"/>
  <c r="K45" i="8"/>
  <c r="I46" i="8"/>
  <c r="J46" i="8"/>
  <c r="K46" i="8"/>
  <c r="I47" i="8"/>
  <c r="J47" i="8"/>
  <c r="K47" i="8"/>
  <c r="I48" i="8"/>
  <c r="I49" i="8"/>
  <c r="J48" i="8"/>
  <c r="K48" i="8"/>
  <c r="I50" i="8"/>
  <c r="J49" i="8"/>
  <c r="K49" i="8"/>
  <c r="M35" i="8"/>
  <c r="I51" i="8"/>
  <c r="J50" i="8"/>
  <c r="K50" i="8"/>
  <c r="R35" i="8"/>
  <c r="S35" i="8"/>
  <c r="T35" i="8" s="1"/>
  <c r="M36" i="8"/>
  <c r="I52" i="8"/>
  <c r="J51" i="8"/>
  <c r="K51" i="8"/>
  <c r="M37" i="8"/>
  <c r="R37" i="8"/>
  <c r="S37" i="8"/>
  <c r="T37" i="8" s="1"/>
  <c r="R36" i="8"/>
  <c r="S36" i="8"/>
  <c r="T36" i="8"/>
  <c r="J52" i="8"/>
  <c r="K52" i="8"/>
  <c r="I53" i="8"/>
  <c r="I54" i="8"/>
  <c r="J53" i="8"/>
  <c r="K53" i="8"/>
  <c r="J54" i="8"/>
  <c r="K54" i="8"/>
  <c r="I55" i="8"/>
  <c r="J55" i="8"/>
  <c r="K55" i="8"/>
  <c r="I56" i="8"/>
  <c r="I57" i="8"/>
  <c r="J56" i="8"/>
  <c r="K56" i="8"/>
  <c r="J57" i="8"/>
  <c r="K57" i="8"/>
  <c r="I58" i="8"/>
  <c r="J58" i="8"/>
  <c r="K58" i="8"/>
  <c r="I59" i="8"/>
  <c r="J59" i="8"/>
  <c r="K59" i="8"/>
  <c r="F207" i="1" l="1"/>
  <c r="E207" i="1"/>
  <c r="E202" i="1" s="1"/>
  <c r="G264" i="1"/>
  <c r="C216" i="1"/>
  <c r="D216" i="1"/>
  <c r="E60" i="4"/>
  <c r="I60" i="4" s="1"/>
  <c r="E62" i="4"/>
  <c r="F112" i="4"/>
  <c r="G112" i="4" s="1"/>
  <c r="E61" i="4"/>
  <c r="I61" i="4" s="1"/>
  <c r="I62" i="4"/>
  <c r="I259" i="1"/>
  <c r="J260" i="1" s="1"/>
  <c r="G93" i="1"/>
  <c r="L29" i="8"/>
  <c r="L30" i="8" s="1"/>
  <c r="L31" i="8" s="1"/>
  <c r="L32" i="8" s="1"/>
  <c r="L33" i="8" s="1"/>
  <c r="L34" i="8" s="1"/>
  <c r="R16" i="8"/>
  <c r="S16" i="8" s="1"/>
  <c r="T16" i="8" s="1"/>
  <c r="M17" i="8"/>
  <c r="H14" i="7"/>
  <c r="I14" i="7" s="1"/>
  <c r="G15" i="7"/>
  <c r="F60" i="5"/>
  <c r="K12" i="18"/>
  <c r="F43" i="5"/>
  <c r="D8" i="5" s="1"/>
  <c r="M16" i="18"/>
  <c r="N16" i="18" s="1"/>
  <c r="K16" i="18"/>
  <c r="L19" i="18"/>
  <c r="F51" i="5"/>
  <c r="E63" i="4" l="1"/>
  <c r="I63" i="4" s="1"/>
  <c r="E64" i="4"/>
  <c r="I64" i="4" s="1"/>
  <c r="I65" i="4" s="1"/>
  <c r="E216" i="1"/>
  <c r="J9" i="1"/>
  <c r="L20" i="18"/>
  <c r="L23" i="18"/>
  <c r="L22" i="18"/>
  <c r="K17" i="18"/>
  <c r="L21" i="18"/>
  <c r="M18" i="8"/>
  <c r="R17" i="8"/>
  <c r="S17" i="8" s="1"/>
  <c r="T17" i="8" s="1"/>
  <c r="H15" i="7"/>
  <c r="I15" i="7" s="1"/>
  <c r="G16" i="7"/>
  <c r="J8" i="1" l="1"/>
  <c r="K8" i="1" s="1"/>
  <c r="D260" i="1"/>
  <c r="J5" i="1"/>
  <c r="H16" i="7"/>
  <c r="I16" i="7" s="1"/>
  <c r="G17" i="7"/>
  <c r="R18" i="8"/>
  <c r="S18" i="8" s="1"/>
  <c r="T18" i="8" s="1"/>
  <c r="M19" i="8"/>
  <c r="J6" i="1" l="1"/>
  <c r="K6" i="1" s="1"/>
  <c r="E99" i="1"/>
  <c r="J7" i="1"/>
  <c r="K7" i="1" s="1"/>
  <c r="E10" i="7"/>
  <c r="D14" i="7" s="1"/>
  <c r="F99" i="1"/>
  <c r="D99" i="1" s="1"/>
  <c r="J19" i="1" s="1"/>
  <c r="K13" i="18" s="1"/>
  <c r="E11" i="8"/>
  <c r="E15" i="8" s="1"/>
  <c r="E16" i="8" s="1"/>
  <c r="E17" i="8" s="1"/>
  <c r="E18" i="8" s="1"/>
  <c r="E19" i="8" s="1"/>
  <c r="E20" i="8" s="1"/>
  <c r="E21" i="8" s="1"/>
  <c r="E22" i="8" s="1"/>
  <c r="E23" i="8" s="1"/>
  <c r="E24" i="8" s="1"/>
  <c r="E25" i="8" s="1"/>
  <c r="E26" i="8" s="1"/>
  <c r="E27" i="8" s="1"/>
  <c r="E28" i="8" s="1"/>
  <c r="E29" i="8" s="1"/>
  <c r="E30" i="8" s="1"/>
  <c r="E31" i="8" s="1"/>
  <c r="E32" i="8" s="1"/>
  <c r="E33" i="8" s="1"/>
  <c r="E34" i="8" s="1"/>
  <c r="G102" i="1"/>
  <c r="K5" i="1"/>
  <c r="G99" i="1"/>
  <c r="K11" i="18"/>
  <c r="M20" i="8"/>
  <c r="R19" i="8"/>
  <c r="S19" i="8" s="1"/>
  <c r="T19" i="8" s="1"/>
  <c r="G18" i="7"/>
  <c r="H17" i="7"/>
  <c r="I17" i="7" s="1"/>
  <c r="D15" i="7" l="1"/>
  <c r="D16" i="7" s="1"/>
  <c r="D17" i="7" s="1"/>
  <c r="D18" i="7" s="1"/>
  <c r="D19" i="7" s="1"/>
  <c r="D20" i="7" s="1"/>
  <c r="D21" i="7" s="1"/>
  <c r="D22" i="7" s="1"/>
  <c r="D23" i="7" s="1"/>
  <c r="D24" i="7" s="1"/>
  <c r="D25" i="7" s="1"/>
  <c r="D26" i="7" s="1"/>
  <c r="D27" i="7" s="1"/>
  <c r="D28" i="7" s="1"/>
  <c r="D29" i="7" s="1"/>
  <c r="D30" i="7" s="1"/>
  <c r="D31" i="7" s="1"/>
  <c r="D32" i="7" s="1"/>
  <c r="D33" i="7" s="1"/>
  <c r="T9" i="8"/>
  <c r="I18" i="1"/>
  <c r="H18" i="1"/>
  <c r="G19" i="7"/>
  <c r="H18" i="7"/>
  <c r="I18" i="7" s="1"/>
  <c r="M21" i="8"/>
  <c r="R20" i="8"/>
  <c r="S20" i="8" s="1"/>
  <c r="T20" i="8" s="1"/>
  <c r="I8" i="7" l="1"/>
  <c r="M22" i="8"/>
  <c r="R21" i="8"/>
  <c r="S21" i="8" s="1"/>
  <c r="T21" i="8" s="1"/>
  <c r="H19" i="7"/>
  <c r="I19" i="7" s="1"/>
  <c r="G20" i="7"/>
  <c r="M23" i="8" l="1"/>
  <c r="R22" i="8"/>
  <c r="S22" i="8" s="1"/>
  <c r="T22" i="8" s="1"/>
  <c r="H20" i="7"/>
  <c r="I20" i="7" s="1"/>
  <c r="G21" i="7"/>
  <c r="H21" i="7" l="1"/>
  <c r="I21" i="7" s="1"/>
  <c r="G22" i="7"/>
  <c r="R23" i="8"/>
  <c r="S23" i="8" s="1"/>
  <c r="T23" i="8" s="1"/>
  <c r="M24" i="8"/>
  <c r="H22" i="7" l="1"/>
  <c r="I22" i="7" s="1"/>
  <c r="G23" i="7"/>
  <c r="M25" i="8"/>
  <c r="R24" i="8"/>
  <c r="S24" i="8" s="1"/>
  <c r="T24" i="8" s="1"/>
  <c r="M26" i="8" l="1"/>
  <c r="R25" i="8"/>
  <c r="S25" i="8" s="1"/>
  <c r="T25" i="8" s="1"/>
  <c r="H23" i="7"/>
  <c r="I23" i="7" s="1"/>
  <c r="G24" i="7"/>
  <c r="H24" i="7" l="1"/>
  <c r="I24" i="7" s="1"/>
  <c r="G25" i="7"/>
  <c r="M27" i="8"/>
  <c r="R26" i="8"/>
  <c r="S26" i="8" s="1"/>
  <c r="T26" i="8" s="1"/>
  <c r="M28" i="8" l="1"/>
  <c r="R27" i="8"/>
  <c r="S27" i="8" s="1"/>
  <c r="T27" i="8" s="1"/>
  <c r="G26" i="7"/>
  <c r="H25" i="7"/>
  <c r="I25" i="7" s="1"/>
  <c r="H26" i="7" l="1"/>
  <c r="I26" i="7" s="1"/>
  <c r="G27" i="7"/>
  <c r="M29" i="8"/>
  <c r="R28" i="8"/>
  <c r="S28" i="8" s="1"/>
  <c r="T28" i="8" s="1"/>
  <c r="M30" i="8" l="1"/>
  <c r="R29" i="8"/>
  <c r="S29" i="8" s="1"/>
  <c r="T29" i="8" s="1"/>
  <c r="G28" i="7"/>
  <c r="H27" i="7"/>
  <c r="I27" i="7" s="1"/>
  <c r="H28" i="7" l="1"/>
  <c r="I28" i="7" s="1"/>
  <c r="G29" i="7"/>
  <c r="M31" i="8"/>
  <c r="R30" i="8"/>
  <c r="S30" i="8" s="1"/>
  <c r="T30" i="8" s="1"/>
  <c r="R31" i="8" l="1"/>
  <c r="S31" i="8" s="1"/>
  <c r="T31" i="8" s="1"/>
  <c r="M32" i="8"/>
  <c r="H29" i="7"/>
  <c r="I29" i="7" s="1"/>
  <c r="G30" i="7"/>
  <c r="H30" i="7" l="1"/>
  <c r="I30" i="7" s="1"/>
  <c r="G31" i="7"/>
  <c r="M33" i="8"/>
  <c r="R32" i="8"/>
  <c r="S32" i="8" s="1"/>
  <c r="T32" i="8" s="1"/>
  <c r="R33" i="8" l="1"/>
  <c r="S33" i="8" s="1"/>
  <c r="T33" i="8" s="1"/>
  <c r="M34" i="8"/>
  <c r="R34" i="8" s="1"/>
  <c r="S34" i="8" s="1"/>
  <c r="T34" i="8" s="1"/>
  <c r="H31" i="7"/>
  <c r="I31" i="7" s="1"/>
  <c r="G32" i="7"/>
  <c r="H32" i="7" l="1"/>
  <c r="I32" i="7" s="1"/>
  <c r="G33" i="7"/>
  <c r="I6" i="7" l="1"/>
  <c r="H33" i="7"/>
  <c r="I3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Intel</author>
  </authors>
  <commentList>
    <comment ref="I10" authorId="0" shapeId="0" xr:uid="{00000000-0006-0000-0000-000001000000}">
      <text>
        <r>
          <rPr>
            <sz val="9"/>
            <color rgb="FF000000"/>
            <rFont val="Tahoma"/>
            <family val="2"/>
          </rPr>
          <t>FIB= Family Income Benefit is a supplementary contract. FIB can be attached for 10% to 50% of Sum Assured. In case of death,  the required FIB % of SA is payable each year in advance for the remaining period of FIB Term. Min. Age is 18 years, Max. Age is 55 years and Maturity Age is 65 years. Min. Term is 10 years, Max. Term is 40 years. On the survival of the policyholder for the entire term of policy Special Terminal Bonus Rs. 10 per thousnad of SA from 11th years, Max. for 20 years is payable at the time of maturity if the term of FIB and the term of policy are equal.</t>
        </r>
      </text>
    </comment>
    <comment ref="I11" authorId="0" shapeId="0" xr:uid="{00000000-0006-0000-0000-000002000000}">
      <text>
        <r>
          <rPr>
            <sz val="9"/>
            <color rgb="FF000000"/>
            <rFont val="Tahoma"/>
            <family val="2"/>
          </rPr>
          <t>TIR= Term Insurance Rider is a supplementary contract. Min. 1 time and Max. 3 times TIR is available. To get 3 times TIR, it is necessary that No FIB or FIB up to 25% be attached. If more than 25% FIB is attached to policy, maximum 2 times TIR is available. In case of death either natural or accidental,  one, two or three times Additional Sum assured is payable as the case may be. On the  survival of the policy holder for the entire term,  no any benefit is payable at the time of maturity. Min. Age  20 years, Max. Age 60 years and Maturity Age 70 years is allowable.</t>
        </r>
      </text>
    </comment>
    <comment ref="I12" authorId="0" shapeId="0" xr:uid="{00000000-0006-0000-0000-000003000000}">
      <text>
        <r>
          <rPr>
            <sz val="9"/>
            <color rgb="FF000000"/>
            <rFont val="Tahoma"/>
            <family val="2"/>
          </rPr>
          <t xml:space="preserve">SWP= Special Waiver of Premium is a supplementary contract, available to waive premium in case of permanant disability whether by accident or by sickness. It is for standard lives, available for females double the male rate. if no any unpleased event happend during the term, no any benefit is payable to the policyholder at the time of maturity. Min. Age 20 years, Max. Age 50 and Maturity Age 60 years is allowable.  </t>
        </r>
      </text>
    </comment>
    <comment ref="I13" authorId="0" shapeId="0" xr:uid="{00000000-0006-0000-0000-000004000000}">
      <text>
        <r>
          <rPr>
            <sz val="9"/>
            <color rgb="FF000000"/>
            <rFont val="Tahoma"/>
            <family val="2"/>
          </rPr>
          <t xml:space="preserve">AIB= Accidental Indemnity benefit is a supplemnetry contract. Maximum risk coverage under AIB is 10 million. In case of accidental death additional SA is payable. Loss of two or more limbs, loss of both eyes, and loss of one eye and one limb due to accident, premiums will be waived and additional SA is payable. Loss of one limb half of SA, loss of one eye one third of SA and loss of thumb and index fingure of any hand one forth of SA is payable. If temporary total and continuous disability Rs.5/- per thousand of SA per week up to 52 weeks is payable. If permanant total and continuous disability 10% of SA is payable maximum for 10 years. Min. Age 18 years, Max. Age 55 years and Maturity Age 60 years is allowable.       
</t>
        </r>
      </text>
    </comment>
    <comment ref="I14" authorId="0" shapeId="0" xr:uid="{00000000-0006-0000-0000-000005000000}">
      <text>
        <r>
          <rPr>
            <sz val="9"/>
            <color rgb="FF000000"/>
            <rFont val="Tahoma"/>
            <family val="2"/>
          </rPr>
          <t xml:space="preserve">ADB= Accidental Death Benefit is a supplemnetry contract. Maximum risk coverage under ADB is 10 Million. In case of accidental death additional SA will be paid.  Min. Age is 05 years, Max. Age  55 years and Maturity Age 60 years is allowable.       </t>
        </r>
      </text>
    </comment>
    <comment ref="I15" authorId="0" shapeId="0" xr:uid="{00000000-0006-0000-0000-000006000000}">
      <text>
        <r>
          <rPr>
            <sz val="9"/>
            <color rgb="FF000000"/>
            <rFont val="Tahoma"/>
            <family val="2"/>
          </rPr>
          <t xml:space="preserve">WP= Waiver of Premium Rider is a supplemnetry contract. Maximum risk coverage under WP is 10 Million. In case of permanat disability as loss of two or more limbs, loss of both eyes, and loss of one eye and one limb due to accident, only premium will be waived. Min Age 18 years, Max. Age 50 years and Maturity Age 60 years is allowable.        
</t>
        </r>
      </text>
    </comment>
    <comment ref="I16" authorId="0" shapeId="0" xr:uid="{00000000-0006-0000-0000-000007000000}">
      <text>
        <r>
          <rPr>
            <sz val="9"/>
            <color rgb="FF000000"/>
            <rFont val="Tahoma"/>
            <family val="2"/>
          </rPr>
          <t xml:space="preserve">ND=Non Declinature means No Refuse. ND is a Scheme can be attached with three terms 10,15,20 of table 03 and with two terms 18 and 21 of table 05. Only Annual Premium is available, Max. SA is 5 Millions, Min. Age is 20 years, Max. Age is 58 years. No Rider, No Medical, No Back Dating. First year death no claim paid, second year death one premium refunded, third year death full sum assured is payable. Death by accident in any policy year , full SA with full bonuses is payable except the death in first two years, only SA is payable. Once it is lapsed can be revived as a new policy. 
</t>
        </r>
      </text>
    </comment>
    <comment ref="I17" authorId="0" shapeId="0" xr:uid="{00000000-0006-0000-0000-000008000000}">
      <text>
        <r>
          <rPr>
            <sz val="9"/>
            <color rgb="FF000000"/>
            <rFont val="Tahoma"/>
            <family val="2"/>
          </rPr>
          <t xml:space="preserve">RPR= Refund of Premium Rider is a supplementary contract can be  attached only with annual premium, table 03,05, 07, 36 and with fresh policies but can not be attached with existing policies. In case of death during the term, all premiums will be refunded including basic premium, policy fee, premium of all supplementary contracts except the premium of RPR itself. Min. Age 20 years, Max Age 60 years and Maturity Age 70 years is allowable.   
</t>
        </r>
      </text>
    </comment>
  </commentList>
</comments>
</file>

<file path=xl/sharedStrings.xml><?xml version="1.0" encoding="utf-8"?>
<sst xmlns="http://schemas.openxmlformats.org/spreadsheetml/2006/main" count="878" uniqueCount="582">
  <si>
    <t>Age</t>
  </si>
  <si>
    <t>Term0310</t>
  </si>
  <si>
    <t>Term0311</t>
  </si>
  <si>
    <t>Term0312</t>
  </si>
  <si>
    <t>Term0313</t>
  </si>
  <si>
    <t>Term0314</t>
  </si>
  <si>
    <t>Term0315</t>
  </si>
  <si>
    <t>Term0316</t>
  </si>
  <si>
    <t>Term0317</t>
  </si>
  <si>
    <t>Term0318</t>
  </si>
  <si>
    <t>Term0319</t>
  </si>
  <si>
    <t>Term0320</t>
  </si>
  <si>
    <t>Term0321</t>
  </si>
  <si>
    <t>Term0322</t>
  </si>
  <si>
    <t>Term0323</t>
  </si>
  <si>
    <t>Term0324</t>
  </si>
  <si>
    <t>Term0325</t>
  </si>
  <si>
    <t>Term0326</t>
  </si>
  <si>
    <t>Term0327</t>
  </si>
  <si>
    <t>Term0328</t>
  </si>
  <si>
    <t>Term0329</t>
  </si>
  <si>
    <t>Term0330</t>
  </si>
  <si>
    <t>Term0331</t>
  </si>
  <si>
    <t>Term0332</t>
  </si>
  <si>
    <t>Term0333</t>
  </si>
  <si>
    <t>Term0334</t>
  </si>
  <si>
    <t>Term0335</t>
  </si>
  <si>
    <t>Term0336</t>
  </si>
  <si>
    <t>Term0337</t>
  </si>
  <si>
    <t>Term0338</t>
  </si>
  <si>
    <t>Term0339</t>
  </si>
  <si>
    <t>Term0340</t>
  </si>
  <si>
    <t>Term0341</t>
  </si>
  <si>
    <t>Term0342</t>
  </si>
  <si>
    <t>Term0343</t>
  </si>
  <si>
    <t>Term0344</t>
  </si>
  <si>
    <t>Term0345</t>
  </si>
  <si>
    <t>FIB10</t>
  </si>
  <si>
    <t>FIB15</t>
  </si>
  <si>
    <t>FIB18</t>
  </si>
  <si>
    <t>FIB20</t>
  </si>
  <si>
    <t>FIB21</t>
  </si>
  <si>
    <t>FIB24</t>
  </si>
  <si>
    <t>FIB25</t>
  </si>
  <si>
    <t>FIB27</t>
  </si>
  <si>
    <t>FIB30</t>
  </si>
  <si>
    <t>FIB35</t>
  </si>
  <si>
    <t>Term0518</t>
  </si>
  <si>
    <t>Term0521</t>
  </si>
  <si>
    <t>Term0524</t>
  </si>
  <si>
    <t>Term0527</t>
  </si>
  <si>
    <t>Term0530</t>
  </si>
  <si>
    <t>Term1910</t>
  </si>
  <si>
    <t>Term1915</t>
  </si>
  <si>
    <t>Term1920</t>
  </si>
  <si>
    <t>Term1925</t>
  </si>
  <si>
    <t>Term1930</t>
  </si>
  <si>
    <t>Term1935</t>
  </si>
  <si>
    <t>Term3610</t>
  </si>
  <si>
    <t>Term3615</t>
  </si>
  <si>
    <t>Term3620</t>
  </si>
  <si>
    <t>Term3625</t>
  </si>
  <si>
    <t>SWP10</t>
  </si>
  <si>
    <t>SWP15</t>
  </si>
  <si>
    <t>SWP18</t>
  </si>
  <si>
    <t>SWP20</t>
  </si>
  <si>
    <t>SWP21</t>
  </si>
  <si>
    <t>SWP25</t>
  </si>
  <si>
    <t>TIR10</t>
  </si>
  <si>
    <t>TIR15</t>
  </si>
  <si>
    <t>TIR18</t>
  </si>
  <si>
    <t>TIR20</t>
  </si>
  <si>
    <t>TIR21</t>
  </si>
  <si>
    <t>TIR25</t>
  </si>
  <si>
    <t>RPR10</t>
  </si>
  <si>
    <t>RPR15</t>
  </si>
  <si>
    <t>RPR18</t>
  </si>
  <si>
    <t>RPR20</t>
  </si>
  <si>
    <t>RPR21</t>
  </si>
  <si>
    <t>RPR25</t>
  </si>
  <si>
    <t>FIB11</t>
  </si>
  <si>
    <t>FIB12</t>
  </si>
  <si>
    <t>FIB13</t>
  </si>
  <si>
    <t>FIB14</t>
  </si>
  <si>
    <t>FIB16</t>
  </si>
  <si>
    <t>FIB17</t>
  </si>
  <si>
    <t>FIB19</t>
  </si>
  <si>
    <t>FIB22</t>
  </si>
  <si>
    <t>FIB23</t>
  </si>
  <si>
    <t>FIB26</t>
  </si>
  <si>
    <t>FIB28</t>
  </si>
  <si>
    <t>FIB29</t>
  </si>
  <si>
    <t>FIB31</t>
  </si>
  <si>
    <t>FIB32</t>
  </si>
  <si>
    <t>FIB33</t>
  </si>
  <si>
    <t>FIB34</t>
  </si>
  <si>
    <t>FIB36</t>
  </si>
  <si>
    <t>FIB37</t>
  </si>
  <si>
    <t>FIB38</t>
  </si>
  <si>
    <t>FIB39</t>
  </si>
  <si>
    <t>FIB40</t>
  </si>
  <si>
    <t>FIB41</t>
  </si>
  <si>
    <t>FIB42</t>
  </si>
  <si>
    <t>FIB43</t>
  </si>
  <si>
    <t>FIB44</t>
  </si>
  <si>
    <t>FIB45</t>
  </si>
  <si>
    <t>TIR11</t>
  </si>
  <si>
    <t>TIR12</t>
  </si>
  <si>
    <t>TIR13</t>
  </si>
  <si>
    <t>TIR14</t>
  </si>
  <si>
    <t>TIR16</t>
  </si>
  <si>
    <t>TIR17</t>
  </si>
  <si>
    <t>TIR19</t>
  </si>
  <si>
    <t>TIR22</t>
  </si>
  <si>
    <t>TIR23</t>
  </si>
  <si>
    <t>TIR24</t>
  </si>
  <si>
    <t>SWP24</t>
  </si>
  <si>
    <t>SWP27</t>
  </si>
  <si>
    <t>SWP30</t>
  </si>
  <si>
    <t>SWP35</t>
  </si>
  <si>
    <t>SWP40</t>
  </si>
  <si>
    <t>RPR11</t>
  </si>
  <si>
    <t>RPR12</t>
  </si>
  <si>
    <t>RPR13</t>
  </si>
  <si>
    <t>RPR14</t>
  </si>
  <si>
    <t>RPR16</t>
  </si>
  <si>
    <t>RPR17</t>
  </si>
  <si>
    <t>RPR19</t>
  </si>
  <si>
    <t>RPR22</t>
  </si>
  <si>
    <t>RPR23</t>
  </si>
  <si>
    <t>RPR24</t>
  </si>
  <si>
    <t>Term7510</t>
  </si>
  <si>
    <t>Term7511</t>
  </si>
  <si>
    <t>Term7512</t>
  </si>
  <si>
    <t>Term7513</t>
  </si>
  <si>
    <t>Term7514</t>
  </si>
  <si>
    <t>Term7515</t>
  </si>
  <si>
    <t>Term7516</t>
  </si>
  <si>
    <t>Term7517</t>
  </si>
  <si>
    <t>Term7518</t>
  </si>
  <si>
    <t>Term7519</t>
  </si>
  <si>
    <t>Term7520</t>
  </si>
  <si>
    <t>Term7521</t>
  </si>
  <si>
    <t>Term7522</t>
  </si>
  <si>
    <t>Term7523</t>
  </si>
  <si>
    <t>Term7524</t>
  </si>
  <si>
    <t>Term7610</t>
  </si>
  <si>
    <t>Term7611</t>
  </si>
  <si>
    <t>Term7612</t>
  </si>
  <si>
    <t>Term7613</t>
  </si>
  <si>
    <t>Term7614</t>
  </si>
  <si>
    <t>Term7615</t>
  </si>
  <si>
    <t>Term7616</t>
  </si>
  <si>
    <t>Term7617</t>
  </si>
  <si>
    <t>Term7618</t>
  </si>
  <si>
    <t>Term7619</t>
  </si>
  <si>
    <t>Term7620</t>
  </si>
  <si>
    <t>Term7621</t>
  </si>
  <si>
    <t>Term7622</t>
  </si>
  <si>
    <t>Term7623</t>
  </si>
  <si>
    <t>Term7624</t>
  </si>
  <si>
    <t>Term7815</t>
  </si>
  <si>
    <t>Term7816</t>
  </si>
  <si>
    <t>Term7817</t>
  </si>
  <si>
    <t>Term7818</t>
  </si>
  <si>
    <t>Term7819</t>
  </si>
  <si>
    <t>Term7820</t>
  </si>
  <si>
    <t>Term7821</t>
  </si>
  <si>
    <t>Term7822</t>
  </si>
  <si>
    <t>Term7823</t>
  </si>
  <si>
    <t>Term7824</t>
  </si>
  <si>
    <t>Term7825</t>
  </si>
  <si>
    <t>ND10</t>
  </si>
  <si>
    <t>ND15</t>
  </si>
  <si>
    <t>ND20</t>
  </si>
  <si>
    <t>ND18</t>
  </si>
  <si>
    <t>ND21</t>
  </si>
  <si>
    <t>Table</t>
  </si>
  <si>
    <t xml:space="preserve">10 to 16 </t>
  </si>
  <si>
    <t>17 to 23</t>
  </si>
  <si>
    <t>24 to 30</t>
  </si>
  <si>
    <t>31 to 37</t>
  </si>
  <si>
    <t>38 to 44</t>
  </si>
  <si>
    <t>Term0710</t>
  </si>
  <si>
    <t>Term0711</t>
  </si>
  <si>
    <t>Term0712</t>
  </si>
  <si>
    <t>Term0713</t>
  </si>
  <si>
    <t>Term0714</t>
  </si>
  <si>
    <t>Term0715</t>
  </si>
  <si>
    <t>Term0716</t>
  </si>
  <si>
    <t>Term0717</t>
  </si>
  <si>
    <t>Term0718</t>
  </si>
  <si>
    <t>Term0719</t>
  </si>
  <si>
    <t>Term0720</t>
  </si>
  <si>
    <t>Term0721</t>
  </si>
  <si>
    <t>Term0722</t>
  </si>
  <si>
    <t>Term0723</t>
  </si>
  <si>
    <t>Term0724</t>
  </si>
  <si>
    <t>Term01</t>
  </si>
  <si>
    <t>Term0346</t>
  </si>
  <si>
    <t>Term0347</t>
  </si>
  <si>
    <t>Term0348</t>
  </si>
  <si>
    <t>Term0349</t>
  </si>
  <si>
    <t>Term0350</t>
  </si>
  <si>
    <t>Term0351</t>
  </si>
  <si>
    <t>Term0352</t>
  </si>
  <si>
    <t>Term0353</t>
  </si>
  <si>
    <t>Term0354</t>
  </si>
  <si>
    <t>Term0355</t>
  </si>
  <si>
    <t>Rate 03</t>
  </si>
  <si>
    <t>Rate 05</t>
  </si>
  <si>
    <t>Rate 01</t>
  </si>
  <si>
    <t>Rate 07</t>
  </si>
  <si>
    <t>Rate 19</t>
  </si>
  <si>
    <t>Rate 36</t>
  </si>
  <si>
    <t>Rate 75</t>
  </si>
  <si>
    <t>Rate 76</t>
  </si>
  <si>
    <t>Rate 78</t>
  </si>
  <si>
    <t>Rate ND</t>
  </si>
  <si>
    <t>Rate FIB</t>
  </si>
  <si>
    <t>Rate TIR</t>
  </si>
  <si>
    <t>Rate SWP</t>
  </si>
  <si>
    <t>Rate RPR</t>
  </si>
  <si>
    <t>45 to 51</t>
  </si>
  <si>
    <t>52 to 58</t>
  </si>
  <si>
    <t>59 to 65</t>
  </si>
  <si>
    <t>FIB</t>
  </si>
  <si>
    <t>TIR</t>
  </si>
  <si>
    <t>SWP</t>
  </si>
  <si>
    <t>RPR</t>
  </si>
  <si>
    <t>Basic Rate</t>
  </si>
  <si>
    <t>Half Yearly</t>
  </si>
  <si>
    <t>Quarterly</t>
  </si>
  <si>
    <t>ADB</t>
  </si>
  <si>
    <t>AIB</t>
  </si>
  <si>
    <t>WP</t>
  </si>
  <si>
    <t>Basic Premium</t>
  </si>
  <si>
    <t>Total Premium Except RPR</t>
  </si>
  <si>
    <t>table</t>
  </si>
  <si>
    <t>plan</t>
  </si>
  <si>
    <t>Whole Life Assurance</t>
  </si>
  <si>
    <t>Endowment Assurance</t>
  </si>
  <si>
    <t>Three Payment Plan</t>
  </si>
  <si>
    <t>Child Protection Policy</t>
  </si>
  <si>
    <t>Jeevan Sathi Plan</t>
  </si>
  <si>
    <t>Shad Abad Plan</t>
  </si>
  <si>
    <t>Child Education and Marriage Plan built-in FIB</t>
  </si>
  <si>
    <t>Child Education and Marriage Plan without built-in FIB</t>
  </si>
  <si>
    <t>Muhafiz Plus</t>
  </si>
  <si>
    <t>Policy Fee</t>
  </si>
  <si>
    <t>SA</t>
  </si>
  <si>
    <t>Rate</t>
  </si>
  <si>
    <t>Per Thousand</t>
  </si>
  <si>
    <t>Amount</t>
  </si>
  <si>
    <t>Max.Rs.100/-</t>
  </si>
  <si>
    <t>Name of Plan</t>
  </si>
  <si>
    <t>Rates</t>
  </si>
  <si>
    <t>Plan 75 and 76</t>
  </si>
  <si>
    <t>Plan 19</t>
  </si>
  <si>
    <t>Age of wife</t>
  </si>
  <si>
    <t>Old Age</t>
  </si>
  <si>
    <t>Small Age</t>
  </si>
  <si>
    <t>Difference</t>
  </si>
  <si>
    <t>Premium Calculation Age</t>
  </si>
  <si>
    <t>Final Age</t>
  </si>
  <si>
    <t>Sum Assured Rupees</t>
  </si>
  <si>
    <t>Premium Calculations in Rupees</t>
  </si>
  <si>
    <t>Annual Premium</t>
  </si>
  <si>
    <t>Type Y for yes if any rider required.</t>
  </si>
  <si>
    <t>Type increased rates of ADB and AIB if any risky profession.</t>
  </si>
  <si>
    <t>Type the data in bright green borders only.</t>
  </si>
  <si>
    <t>Note regarding Automatic Premium Calculation System (APCS) :</t>
  </si>
  <si>
    <t>Term</t>
  </si>
  <si>
    <t>"Y" for Yes</t>
  </si>
  <si>
    <t>Rider</t>
  </si>
  <si>
    <t>% / Times</t>
  </si>
  <si>
    <t>Type 10 to 50 infront of FIB in %  if any percent of FIB is required.</t>
  </si>
  <si>
    <t>Type 1 to 3 infront of TIR in Times if single, double, or triple times TIR is required.</t>
  </si>
  <si>
    <t>ND Scheme</t>
  </si>
  <si>
    <t xml:space="preserve">ND </t>
  </si>
  <si>
    <t>Riders on Wife's Life if Table 19</t>
  </si>
  <si>
    <t>Riders on Female's Life</t>
  </si>
  <si>
    <t>Riders on Male's Life</t>
  </si>
  <si>
    <t>Female if Sub standered</t>
  </si>
  <si>
    <t>Male if Sub standered</t>
  </si>
  <si>
    <t>Premium with Riders</t>
  </si>
  <si>
    <t>Type Y for yes if any rider required or Sub standard Life</t>
  </si>
  <si>
    <t>Rider for 1st life</t>
  </si>
  <si>
    <t>Rider for 2nd life</t>
  </si>
  <si>
    <t>FIB % Increase</t>
  </si>
  <si>
    <t>TIR % Increase</t>
  </si>
  <si>
    <t xml:space="preserve">Sub Standard Life  in % </t>
  </si>
  <si>
    <t>Type any number infront of  Sub standard Life in %  to increase any % in amount of FIB and TIR.</t>
  </si>
  <si>
    <t>Today's Date</t>
  </si>
  <si>
    <t>Date of Birth</t>
  </si>
  <si>
    <t>Age Nearest Birthday</t>
  </si>
  <si>
    <t>Month</t>
  </si>
  <si>
    <t>Year</t>
  </si>
  <si>
    <t>Day</t>
  </si>
  <si>
    <t>Years</t>
  </si>
  <si>
    <t>Automatic Age Calculation System (AACS)</t>
  </si>
  <si>
    <t>Age at Today</t>
  </si>
  <si>
    <t>20 and above</t>
  </si>
  <si>
    <t>15 to 19</t>
  </si>
  <si>
    <t>14 and less</t>
  </si>
  <si>
    <t>Edowment Assurance</t>
  </si>
  <si>
    <t>Terminal Bonuse</t>
  </si>
  <si>
    <t>Special Terminal Bonuse</t>
  </si>
  <si>
    <t>Anticipated Edowment Assurance</t>
  </si>
  <si>
    <t>Sum Assured</t>
  </si>
  <si>
    <t>RB</t>
  </si>
  <si>
    <t>TB</t>
  </si>
  <si>
    <t>STB</t>
  </si>
  <si>
    <t>Maturity</t>
  </si>
  <si>
    <t>Maturity Age</t>
  </si>
  <si>
    <t>Reversionary Bonuses per thousand sum assured per annum</t>
  </si>
  <si>
    <t>Policy Years</t>
  </si>
  <si>
    <t xml:space="preserve">For 1st Five </t>
  </si>
  <si>
    <t>per thousand per annum</t>
  </si>
  <si>
    <t>Year onwards</t>
  </si>
  <si>
    <t>From 6th Policy</t>
  </si>
  <si>
    <t>Maturity 03</t>
  </si>
  <si>
    <t>Maturity 05</t>
  </si>
  <si>
    <t>Maturity 01</t>
  </si>
  <si>
    <t>Maturity Age-Age</t>
  </si>
  <si>
    <t xml:space="preserve">       From 6th Policy</t>
  </si>
  <si>
    <t xml:space="preserve">          For 1st Five </t>
  </si>
  <si>
    <t xml:space="preserve">         Policy Years</t>
  </si>
  <si>
    <t xml:space="preserve">        Year to 16th </t>
  </si>
  <si>
    <t xml:space="preserve">        Policy Year</t>
  </si>
  <si>
    <t>From 17th Policy</t>
  </si>
  <si>
    <t>Year and onwards</t>
  </si>
  <si>
    <t xml:space="preserve">    Automatic  Premium Calculation System (APCS)</t>
  </si>
  <si>
    <t>Reversionary Bonus</t>
  </si>
  <si>
    <t>Terminal Bonus</t>
  </si>
  <si>
    <t>Special Terminal Bonus</t>
  </si>
  <si>
    <t>S. No.</t>
  </si>
  <si>
    <t>Premium</t>
  </si>
  <si>
    <t>Bonus</t>
  </si>
  <si>
    <t xml:space="preserve">Value of </t>
  </si>
  <si>
    <t>Bonuses</t>
  </si>
  <si>
    <t>SA+</t>
  </si>
  <si>
    <t>Payable on</t>
  </si>
  <si>
    <t>Natural Death</t>
  </si>
  <si>
    <t>Payble on</t>
  </si>
  <si>
    <t>Accidental Death</t>
  </si>
  <si>
    <t>Rupees</t>
  </si>
  <si>
    <t>Plan:</t>
  </si>
  <si>
    <t>Term:</t>
  </si>
  <si>
    <t>Commencement Year:</t>
  </si>
  <si>
    <t>Rider:</t>
  </si>
  <si>
    <t>Yours Satisfaction is Our Success</t>
  </si>
  <si>
    <t xml:space="preserve">Assumed Maturity Rs: </t>
  </si>
  <si>
    <t>Total Investment Rs:</t>
  </si>
  <si>
    <t>Sum Assured Rs:</t>
  </si>
  <si>
    <t>Annual Premium Rs:</t>
  </si>
  <si>
    <t>Payable on Death</t>
  </si>
  <si>
    <t xml:space="preserve"> </t>
  </si>
  <si>
    <t>*</t>
  </si>
  <si>
    <t>" This investement is  unique investment for yourself as well as for your sweet family's bright future"</t>
  </si>
  <si>
    <t>"Yours Satisfaction is Our Success"</t>
  </si>
  <si>
    <t xml:space="preserve">                               Assumed Maturity Rs: </t>
  </si>
  <si>
    <t xml:space="preserve">                               Commencement Year:</t>
  </si>
  <si>
    <t xml:space="preserve">                               Total Investment Rs:</t>
  </si>
  <si>
    <t>Mr. Munwar</t>
  </si>
  <si>
    <t>Bhitai Town</t>
  </si>
  <si>
    <t>Automatic Bonus Calculation System (ABCS)</t>
  </si>
  <si>
    <t>%/Times</t>
  </si>
  <si>
    <t>Tables: 01,03,05,07,19,36,75,76,78.</t>
  </si>
  <si>
    <t xml:space="preserve">                  For 1st Five </t>
  </si>
  <si>
    <t xml:space="preserve">                  Policy Years</t>
  </si>
  <si>
    <t>FIB TERM=</t>
  </si>
  <si>
    <t>Prepared by: Sayed Mohammad Ali Shah.  If any discrepancy found please contact. 0333-2705123</t>
  </si>
  <si>
    <t>FIB %</t>
  </si>
  <si>
    <t>Y</t>
  </si>
  <si>
    <t>SWP Term</t>
  </si>
  <si>
    <t>Y for Yes</t>
  </si>
  <si>
    <t>Whole Life Assurance Plan is a unique combination of protection and savings which can be purchased at very economical premium.  Death at any time before age 85 years terminates payment of premium and the Sum Assured plus bonuses, if any become payable. In the event the insured survives to the policy anniversary nearest age 85 years the policy matures and the Sum Assured plus bonuses becomes payable. Minimum age is 10 years, Maximum age is 65 years and Maturity 85 years.</t>
  </si>
  <si>
    <t>Endowment Assurance is a type of an insurance policy in which a certain sum is paid at a certain date or death if earlier. It is the safest and surest method of guaranteed cash provision either at a specified time or at the death. It serves the requirement of the family in various shapes by way of financial help at retirement ,education of children or capital for business.Under these policies the Sum Assured plus bonuses is payable at the end of specified number of years or at death of the assured if earlier.</t>
  </si>
  <si>
    <t xml:space="preserve">Three Payment Plan or Anticipated Endowment Assurance is a plan in which three payments are payable. On completion of 1/3rd of the term 25% of Sum Assured as Survival Benefit (SB) will be paid, on completion of 2/3rd of the term 25% of Sum Assured will be paid, on completion of entire term 50% of SA with the bonuses of entire term will be paid. Having taken SBs if policyholder expire full SA is payable. if PH left all SBs, Special Reversionary Bonuse is payable. if policyholder expire having left all SBs, Full SA plus both SBs plus reversionary and special reversionary bonus will be paid      </t>
  </si>
  <si>
    <t xml:space="preserve">Child Protection policy is issued jointly on the lives of the child and the father or moher. No other relative will be allowed to be a Payor. If payor and child  survive payor will get maturity. If payor dies, premium ceases and child will get 10% of SA per annum till the expiry of the term. After expiry of the term, SA and bonuses accrued till the death of the payor are payable. If child dies and age of child is one year at death, payor will be paid 10% of SA and 10% of bonuses, if age at death 2 years 20% of SA and 20% of bonuses. Payment in the same way if age 3 years at death to 10 years full SA Full Bonuses will be payble. If an additional premium of Rs. 1.50 per thousand </t>
  </si>
  <si>
    <t xml:space="preserve">Jeevan Sathi Plan covers the risk on the both lives i.e. husband and wife for the Sum Assured. Premiums are payable till the end of the term or till death of either of the assured persons, if earlier. On the death of the first life, Sum Assured will be paid to the survivor but risk coverage and bonuses on second life will continue. On the death of second life, again Sum Assured will be paid with full bonuses to the nominee and policy will terminate. If both survives Sum Assured with full bonuses will be paid at the time of maturity. </t>
  </si>
  <si>
    <t xml:space="preserve">Shadabad Plan covers the double risk of any person means double Sum Assured will be paid  in case of natural death and four times Sum Assured will be paid in case of accidental death.Two Times ADB and One time TIR is already included in Shadabad Plan. Maximum Sum Assured is 40 Lacs is allowable in Shadabad Plan because maximum risk coverage under ADB is 80 lacs, two times ADB means 40 Lacs plus 40 lacs will be equal 80 Lacs. The basic rates of  03+TIR+ADB+ADB - Rs.1 (Discount) = 36 . So Shadabad Plan provides Rs.1/- discount in basic rates instead of getting plan 03 with TIR and Two Times ADB individualy.  </t>
  </si>
  <si>
    <t>Child Education and Marriage Plan With built in FIB. 24% FIB is already included. An extra FIB Min 10% to Max 26% can be attached. Garandparents, uncles, aunts or any other person can also perchase this plan for child of min age 1 year max age 15 years. Min age of payer is 20  and max is 60 years. Maturity Age of child is 18, 21, 25 years. If child dies, no any claim will be paid and payer has three options, switch policy to the name of another child, continiue policy on his own name or refund all premiums or cash value which ever is higher. In case payer dies 24% of SA as FIB will be paid, Premium will be waived and at maturity Full SA with Bonuses of entire term will be paid.</t>
  </si>
  <si>
    <t>Child Education and Marriage Plan Without built in FIB.  An extra FIB Min 10% to Max 50% can be attached. Garandparents, uncles, aunts or any other person can also perchase this plan for child of min age 1 year max age 15 years. Min age of payer is 20  and max is 60 years. Maturity Age of child is 18, 21, 25 years. If child dies, no any claim will be paid and payer has three options, switch policy to the name of another child, continiue policy on his own name or refund all premiums or cash value which ever is higher. In case payer dies  Premiums will be waived and at maturity Full SA with Bonuses of entire term will be paid.</t>
  </si>
  <si>
    <t xml:space="preserve">Muhafiz Plus includes 24% FIB for a fixed period of 15 years and One ADB. In case of Accident additional Sum Assured will be paid. In case of natural death 24% of Sum Assured as FIB will be paid for fixed term of 15 years. </t>
  </si>
  <si>
    <t>SWP11</t>
  </si>
  <si>
    <t>SWP12</t>
  </si>
  <si>
    <t>SWP13</t>
  </si>
  <si>
    <t>SWP14</t>
  </si>
  <si>
    <t>SWP16</t>
  </si>
  <si>
    <t>SWP17</t>
  </si>
  <si>
    <t>SWP19</t>
  </si>
  <si>
    <t>SWP22</t>
  </si>
  <si>
    <t>SWP23</t>
  </si>
  <si>
    <t>SWP26</t>
  </si>
  <si>
    <t>SWP28</t>
  </si>
  <si>
    <t>SWP29</t>
  </si>
  <si>
    <t>SWP31</t>
  </si>
  <si>
    <t>SWP32</t>
  </si>
  <si>
    <t>SWP33</t>
  </si>
  <si>
    <t>SWP34</t>
  </si>
  <si>
    <t>SWP36</t>
  </si>
  <si>
    <t>SWP37</t>
  </si>
  <si>
    <t>SWP38</t>
  </si>
  <si>
    <t>SWP39</t>
  </si>
  <si>
    <t>Bonus Declaration 2016</t>
  </si>
  <si>
    <t>Endowment Assurance is a type of an insurance policy in which a certain sum is paid at a certain date or death if earlier. It is the safest and surest method of guaranteed cash provision either at a specified time or at the death. It serves the requirement of the family in various shapes by way of financial help at retirement, education of children or capital for business.Under these policies the Sum Assured plus Bonuses is payable at the end of specified number of years or at death of the assured if earlier.</t>
  </si>
  <si>
    <t xml:space="preserve">Three Payment Plan or Anticipated Endowment Assurance is a plan in which three payments are payable. On completion of 1/3rd of the term 25% of Sum Assured as Survival Benefit (SB) becomes payable, on completion of 2/3rd of the term, 25% of Sum Assured becomes payable, on completion of entire term, 50% of SA with the bonuses of entire term becomes payable. Having taken SBs, if policyholder expire full SA is payable. If PH left all SBs, Special Reversionary Bonuse is payable. If policyholder expires, having left all SBs, Full SA plus both SBs plus reversionary and special reversionary bonus become payable. </t>
  </si>
  <si>
    <t xml:space="preserve">Jeevan Sathi Plan covers the risk on the both lives i.e. husband and wife for the Sum Assured. Premiums are payable till the end of the term or till death of either of the assured persons, if earlier. On the death of the first life, Sum Assured is payable to the survivor but risk coverage and bonuses on second life will continue. On the death of second life, again Sum Assured is payable with full bonuses to the nominee and policy will terminate. If both survives Sum Assured with full bonuses is payable at the time of maturity. </t>
  </si>
  <si>
    <t xml:space="preserve">Shadabad Plan covers the double risk of any person means double Sum Assured is payable in case of natural death and four times Sum Assured is payable in case of accidental death.Two Times ADB and One time TIR is already built in Shadabad Plan. Maximum Sum Assured is 50 Lacs is allowable in Shadabad Plan because maximum risk coverage under ADB is 10 million, two times ADB means 50 Lacs plus 50 lacs will be equal 1 crore ( 10 million ). The basic rates of  03+TIR+ADB+ADB - Rs.1 (Discount) = 36 . So built in riders of Shadabad Plan provides Rs.1/- discount in basic rates, on the contrary there is no discount if getting plan 03 with TIR and Two Times ADB individualy.  </t>
  </si>
  <si>
    <t>Child Education and Marriage Plan With built in FIB. 24% FIB is already included. An extra FIB Min 10% to Max 26% can be attached. Garandparents, uncles, aunts or any other person can also perchase this plan for child of Min. Age is 1 year, Max. Age is 15 years. Min. Age of payer 20 years and Max Age 60 years is allowable. Maturity Age of child is 18, 21, 25 years. If child dies, no any claim is payable and payer has three options, switch policy to the name of another child, continue policy on his own name or refund all premiums or cash value which ever is higher. In case payer dies 24% of SA as FIB is payable, Premium will be waived and at maturity Full SA with Bonuses of entire term is payable.</t>
  </si>
  <si>
    <t>Child Education and Marriage Plan Without built in FIB. FIB Min 10% to Max 50% can be attached. Garandparents, uncles, aunts or any other person can also perchase this plan. Allowable Age of child is Min. Age 1 year, Max. Age 15 years. Min Age of payer is 20 years  and Max. Age is 60 years. Maturity Age of child is 18, 21, 25 years. If child dies, no any claim is payable and payer has three options, switch policy to the name of another child, continue policy on his own name or refund all premiums or cash value which ever is higher. In case payer dies  Premiums will be waived and at maturity Full SA with Bonuses of entire term is payable.</t>
  </si>
  <si>
    <t xml:space="preserve">Muhafiz Plus built in ADB and 24% FIB for a fixed period of 15 years. In case of Accidental death an additional Sum Assured is payable. In case of death during term 24% of Sum Assured as FIB is payable for fixed term of 15 years and Sum assured and accrued bonuses are paybale to the nominee at the time of death. </t>
  </si>
  <si>
    <t>Features of the Plan</t>
  </si>
  <si>
    <r>
      <rPr>
        <b/>
        <sz val="10"/>
        <rFont val="Arial"/>
        <family val="2"/>
      </rPr>
      <t>Whole Life Assurance Plan</t>
    </r>
    <r>
      <rPr>
        <sz val="10"/>
        <rFont val="Arial"/>
        <family val="2"/>
      </rPr>
      <t xml:space="preserve"> is a unique combination of protection and savings which can be purchased at very economical premium.  Death at any time before age 85 years terminates payment of premium and the Sum Assured plus Bonuses, if any become payable. In the event the insured survives to the policy anniversary nearest age 85 years the policy matures and the Sum Assured plus Bonuses becomes payable. Minimum age is 10 years, Maximum age is 65 years and Maturity Age is 85 years.</t>
    </r>
  </si>
  <si>
    <t>Child Protection policy is issued jointly on the lives of the child and the father or moher. No other relative will be allowed to be a Payer. If payer and child  survive payer will get maturity. If payer dies, premium ceases and child will get 10% of SA per annum till the expiry of the term. After expiry of the term, SA and bonuses accrued till the death of the payer are payable. If child at death is of one year, 10% of SA and 10% of bonuses become payable, if age of child at death is  2 years 20% of SA and 20% of bonuses become payable. In the same way Payments are become payable upto the age of child till 9 years. if child at death attains the age 10 years or more, full SA plus full Bonuses becomes payable. If an additional premium of Rs.1.50/- per thousand of Sum Assured is paid and if child at death is of one year 20% of SA and 20% of Bonuses become payable in the same manner up to the age of 4 years. If child at death is 5 years, full SA plus Bonuses becomes payable.</t>
  </si>
  <si>
    <t>Type the data in RED borders only.</t>
  </si>
  <si>
    <t xml:space="preserve">%  of Sum Assured is Rs. </t>
  </si>
  <si>
    <t xml:space="preserve">     payable each</t>
  </si>
  <si>
    <t xml:space="preserve">         year as FIB, for remining years of the FIB term, in case of death</t>
  </si>
  <si>
    <r>
      <t xml:space="preserve">FIB </t>
    </r>
    <r>
      <rPr>
        <b/>
        <sz val="14"/>
        <color rgb="FFFF0000"/>
        <rFont val="Bookman Old Style"/>
        <family val="1"/>
      </rPr>
      <t>*</t>
    </r>
  </si>
  <si>
    <t>Term0210</t>
  </si>
  <si>
    <t>Term0215</t>
  </si>
  <si>
    <t>Term0220</t>
  </si>
  <si>
    <t>Term0225</t>
  </si>
  <si>
    <t>Term0230</t>
  </si>
  <si>
    <t>Term0270</t>
  </si>
  <si>
    <t>Term0470</t>
  </si>
  <si>
    <t>Term0610</t>
  </si>
  <si>
    <t>Term0615</t>
  </si>
  <si>
    <t>Term0620</t>
  </si>
  <si>
    <t>Term0625</t>
  </si>
  <si>
    <t>Term0630</t>
  </si>
  <si>
    <t>Term0635</t>
  </si>
  <si>
    <t>Term0910</t>
  </si>
  <si>
    <t>Term0915</t>
  </si>
  <si>
    <t>Term0920</t>
  </si>
  <si>
    <t>Term0925</t>
  </si>
  <si>
    <t>Term0930</t>
  </si>
  <si>
    <t>Term0940</t>
  </si>
  <si>
    <t>Term0950</t>
  </si>
  <si>
    <t>Term1218</t>
  </si>
  <si>
    <t>Term1221</t>
  </si>
  <si>
    <t>Term1725</t>
  </si>
  <si>
    <t>Term1726</t>
  </si>
  <si>
    <t>Term1727</t>
  </si>
  <si>
    <t>Term1728</t>
  </si>
  <si>
    <t>Term1729</t>
  </si>
  <si>
    <t>Term1730</t>
  </si>
  <si>
    <t>Term1731</t>
  </si>
  <si>
    <t>Term1732</t>
  </si>
  <si>
    <t>Term1733</t>
  </si>
  <si>
    <t>Term1734</t>
  </si>
  <si>
    <t>Term1735</t>
  </si>
  <si>
    <t>Term1736</t>
  </si>
  <si>
    <t>Term1737</t>
  </si>
  <si>
    <t>Term1738</t>
  </si>
  <si>
    <t>Term1739</t>
  </si>
  <si>
    <t>Term1740</t>
  </si>
  <si>
    <t>Term1815</t>
  </si>
  <si>
    <t>Term1820</t>
  </si>
  <si>
    <t>Term2405</t>
  </si>
  <si>
    <t>Term2406</t>
  </si>
  <si>
    <t>Term2407</t>
  </si>
  <si>
    <t>Term2408</t>
  </si>
  <si>
    <t>Term2409</t>
  </si>
  <si>
    <t>Term2410</t>
  </si>
  <si>
    <t>Term2505</t>
  </si>
  <si>
    <t>Term2506</t>
  </si>
  <si>
    <t>Term2507</t>
  </si>
  <si>
    <t>Term2508</t>
  </si>
  <si>
    <t>Term2509</t>
  </si>
  <si>
    <t>Term2510</t>
  </si>
  <si>
    <t>Term74A12</t>
  </si>
  <si>
    <t>Term74A15</t>
  </si>
  <si>
    <t>Term74A18</t>
  </si>
  <si>
    <t>Term74A21</t>
  </si>
  <si>
    <t>Term74A24</t>
  </si>
  <si>
    <t>Term74A27</t>
  </si>
  <si>
    <t>Term74A30</t>
  </si>
  <si>
    <t>Term74B12</t>
  </si>
  <si>
    <t>Term74B15</t>
  </si>
  <si>
    <t>Term74B18</t>
  </si>
  <si>
    <t>Term74B21</t>
  </si>
  <si>
    <t>Term74B24</t>
  </si>
  <si>
    <t>Term74B27</t>
  </si>
  <si>
    <t>Term74B30</t>
  </si>
  <si>
    <t>Rate 02</t>
  </si>
  <si>
    <t>Rate 04</t>
  </si>
  <si>
    <t>Rate 06</t>
  </si>
  <si>
    <t>Rate 09</t>
  </si>
  <si>
    <t>Rate 24</t>
  </si>
  <si>
    <t>Rate 12</t>
  </si>
  <si>
    <t>Rate 17</t>
  </si>
  <si>
    <t>Rate 18</t>
  </si>
  <si>
    <t>Rate 25</t>
  </si>
  <si>
    <t>Whole Life Assurance by Limited Payment</t>
  </si>
  <si>
    <t>Progressive Premium Policy</t>
  </si>
  <si>
    <t>Three Payment Plan / Anticipated Endowment Assurance</t>
  </si>
  <si>
    <t>Joint Life Endowment Assurance</t>
  </si>
  <si>
    <t>Endowment Assurance by Single Premium</t>
  </si>
  <si>
    <t>Family Pension Plan</t>
  </si>
  <si>
    <t>Rural Life Assurance</t>
  </si>
  <si>
    <t>Sadabahar Plan</t>
  </si>
  <si>
    <t>Rate 74A</t>
  </si>
  <si>
    <t>Rate 74B</t>
  </si>
  <si>
    <t>Basic Rate Table 74 Appendix B if SA&gt;10000000</t>
  </si>
  <si>
    <t>Shadabad Assurance</t>
  </si>
  <si>
    <t>Optional Maturity Assurance</t>
  </si>
  <si>
    <t>Jeevan Sathi Assurance</t>
  </si>
  <si>
    <t>Nigehban Plan by Annual Premium</t>
  </si>
  <si>
    <t>Nigehban Plan by Single Premium</t>
  </si>
  <si>
    <t>Child Education and Marriage Plan With Built-in FIB</t>
  </si>
  <si>
    <t>Child Education and Marriage Plan Without Built-in FIB</t>
  </si>
  <si>
    <t>Basic Premium of 74 =</t>
  </si>
  <si>
    <t>Basic Premium of All plans except Table 74 =</t>
  </si>
  <si>
    <t xml:space="preserve">        Term of policy =</t>
  </si>
  <si>
    <t>Table 18</t>
  </si>
  <si>
    <t xml:space="preserve">Whole Life Assurance by Limited Payment With Profit is a modification of Whole Life Assurance wherein the premiums are payable for selected terms. At the expiry of selected premium paying term,the policy will be kept inforce for full Sum Assured and will continue to participate in profits till age 85 or earlier death of the life insured. Sum Assured plus accrued bonuses become payable at death during or after the premium paying term or at age of 85. </t>
  </si>
  <si>
    <t>Progressive Premium Policy is a special kind of Endowment Assurance which matures at the age of 70 years. The Policyholder has an option after 5 years to get the term of policy reduced, but the unexpired term of policy from the date of conversion should not be less than 10 years. If this option is not exercised, the policy will auomaticaly matures at the age of 70 years. In the event of exercising the conversion option after 5 years, the policy would be entitled to bonuses on the basis of new term from original commencement date to revised maturiy date.The bonuses attaching to the policy in respect of first 5 yers would be adjusted downwards, if necessary.</t>
  </si>
  <si>
    <t>Under Endowment Assurance by Single Premium a single premim is paid per 1000 sum assured for the Selected term of thepolicy ranging from 10 to 50 years term. The policy matures at the end of selected term or at earlier death. This policy participates in profits until the term of the policy or the death of the assured if earlier.The sum assured plus bonuses are therefore payable on maturity or at earlier death.</t>
  </si>
  <si>
    <t>Joint Life Endowment Assurance policies are issued on the lives of two persons and simultaneously cover the risk on the lives of both for the sum assured. The sum assured plus bonuses is payable either at the end of the specified term or at earlier death of the either of the assured persons.Premiums are payable till the end of the specified term or till death of either of the assured persons if earlier.</t>
  </si>
  <si>
    <t>This is a modified Three Payment Plan. On survival of the life assured till maturity, the sum assured plus bonuses if any will be payable after deducting any amount with drawn at the end of 1/3rd or 2/3rd of the policy term. In the event of death of the assured at or after the end of 1/3rd policy term, in addition to the basic sum assured plus bonuses (if any ) all of the following benefits become payable. An amount equal to 25% of the sum assured. Basic Income Benefit for guaranteed period of 10 years.Supplementary Income Benefit depending upon the number of the children surviving at the death ofthe assured. a lump sum payment on termination of all income benefits.If the assured dies at or after the end of 2/3rd of the policy term the death benefits described in preceding lines are further increased as shown in the Table of Benefits.</t>
  </si>
  <si>
    <t>Optional Maturity Endowment Assurance with profit contract with built in option to mature early. After the policy has been inforce for 20 years or more, the policyholder can mature the policy for a proportionately reduced sum assured. The Original Term Maturity Bonus is payable at death after 20 years or at maturity i.e. at the end of the original term.The term of the plan will be 40 years or upto age 70  whichever is less. This plan is open to persons aged 20 to 45 years but not over 45 years.</t>
  </si>
  <si>
    <t xml:space="preserve">Rural Life Insurance Plan is availbale to persons aged 20 years to 55 years with term of 15 and 20 years only. On maturity and on death, full Sum Assured plus Bonuses become payable. On death due to an accident three times Sum Assured plus Bonuses is payable. On death due to accident caused while using any mechanical agricultural equipments eg Tractors, Thrashers, Water Pump etc Five times Sum Assured plus Bonuses are payable.  </t>
  </si>
  <si>
    <t xml:space="preserve">Nigehban Plan Without Profit provides Term Insurance cover by Annual Premium for period of 5 to 10 years availble up to age 60 years.Sum Assured is payable on death during the term while policy is in force. This Plan does not have any maturity benefits, surrender values and loan values etc.  Only Yearly mode is available. ADB or AIB may be atteched. </t>
  </si>
  <si>
    <t xml:space="preserve">Nigehban Plan Without Profit provides Term Insurance cover by Single Premium for period of 5 to 10 years availble up to age 60 years.Sum Assured is payable on death during the term while policy is in force. This Plan does not have any maturity benefits, surrender values and loan values etc.  This is a paln for Single Premium only. ADB or AIB, if atteched to a policy premium for the whole term will be charged in lump sump at inception.. </t>
  </si>
  <si>
    <t>Approximate Maturity</t>
  </si>
  <si>
    <t>Sadabhar is an Anticipated Endowment Assurance Plan with profit and built in ADB provides full Sum Assured plus accured bonuses are payable on death. If death occures by accident additional amount equal to Sum Assured subject to the maximum limit will be paid. On completion of 1/3rd of the term 20% of Sum Assured as Survival Benefit (SB) becomes payable, on completion of 2/3rd of the term, 20% of Sum Assured becomes payable, on completion of entire term, 60% of SA with the bonuses of entire term becomes payable.</t>
  </si>
  <si>
    <t>Bonus Declaration on Policies for  the Year 2016</t>
  </si>
  <si>
    <t>Maturity Table = 01, 02</t>
  </si>
  <si>
    <t>Maturity Table = 03, 04, 06, 07, 09, 17, 18, 19, 36, 75, 76, 78</t>
  </si>
  <si>
    <t>Sum At Risk</t>
  </si>
  <si>
    <t>18-40</t>
  </si>
  <si>
    <t>41-45</t>
  </si>
  <si>
    <t>46-50</t>
  </si>
  <si>
    <t>51-55</t>
  </si>
  <si>
    <t>56-60</t>
  </si>
  <si>
    <t>61-65</t>
  </si>
  <si>
    <t>UPTO 600000</t>
  </si>
  <si>
    <t>600001-900000</t>
  </si>
  <si>
    <t>900001-1500000</t>
  </si>
  <si>
    <t>2500001-4000000</t>
  </si>
  <si>
    <t>4000001-5000000</t>
  </si>
  <si>
    <t>5000001-9999999</t>
  </si>
  <si>
    <t>10000000-ABOVE</t>
  </si>
  <si>
    <t>Non Medical</t>
  </si>
  <si>
    <t>MR</t>
  </si>
  <si>
    <t>1500001-1800000</t>
  </si>
  <si>
    <t>1800001-2500000</t>
  </si>
  <si>
    <t>Maturity Table = 74</t>
  </si>
  <si>
    <t xml:space="preserve">Anticipated Endowment Assurance  </t>
  </si>
  <si>
    <t>Sada-Bahar Plan (Table 74)</t>
  </si>
  <si>
    <t xml:space="preserve">              25% increase than 05 bonuses</t>
  </si>
  <si>
    <t>Maturity Table = 05, 12</t>
  </si>
  <si>
    <t>MR,PUR,FBS,Ex-ECG.</t>
  </si>
  <si>
    <t>MR,PUR,Ex-ECG,BS,LFT,SERUM CREATININE, HEPATITIS B &amp; C,LIPID PROFILE,CHEST X-RAY, HIV.</t>
  </si>
  <si>
    <t>MR,PUR,Ex-ECG,BS,LFT,SERUM CREATININE, HEPATITIS B &amp; C,LIPID PROFILE, HIV.</t>
  </si>
  <si>
    <t>MR,PUR,Ex-ECG,BS,LFT, HEPATITIS B &amp; C.</t>
  </si>
  <si>
    <t>MR,PUR,Ex-ECG,BS,LFT,CXR, HEPATITIS B &amp; C.</t>
  </si>
  <si>
    <t>MR,PUR,Ex-ECG,BS,SGPT.</t>
  </si>
  <si>
    <t>MR,PUR,Ex-ECG,BS,SGPT,CXR.</t>
  </si>
  <si>
    <t>MR,PUR,ECG.</t>
  </si>
  <si>
    <t>MR,PUR,Ex-ECG.</t>
  </si>
  <si>
    <t>MR,PUR,Ex-ECG,BS,CXR.</t>
  </si>
  <si>
    <t>Total Investment</t>
  </si>
  <si>
    <t>Bonuses Declaration on Policies for  the Year 2017</t>
  </si>
  <si>
    <t>Selected Table</t>
  </si>
  <si>
    <t>Selected Plan</t>
  </si>
  <si>
    <t>Supplementary Contracts</t>
  </si>
  <si>
    <t>Protection of Plan</t>
  </si>
  <si>
    <t>Age nearest Birth day</t>
  </si>
  <si>
    <t>On Natural Death *</t>
  </si>
  <si>
    <t>* Plus Bonuses</t>
  </si>
  <si>
    <t>INSURANCE SUMMARY</t>
  </si>
  <si>
    <t>Name:</t>
  </si>
  <si>
    <t>Total Invetment</t>
  </si>
  <si>
    <t>Table 01</t>
  </si>
  <si>
    <t>Table 03</t>
  </si>
  <si>
    <t>Table 09,25</t>
  </si>
  <si>
    <t>Table 02 /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</si>
</sst>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s.&quot;* #,##0.00_);_(&quot;Rs.&quot;* \(#,##0.00\);_(&quot;Rs.&quot;* &quot;-&quot;??_);_(@_)"/>
    <numFmt numFmtId="165" formatCode="0.000"/>
    <numFmt numFmtId="166" formatCode="&quot;Rs.&quot;#,##0"/>
    <numFmt numFmtId="167" formatCode="_(&quot;Rs.&quot;* #,##0_);_(&quot;Rs.&quot;* \(#,##0\);_(&quot;Rs.&quot;* &quot;-&quot;??_);_(@_)"/>
  </numFmts>
  <fonts count="34" x14ac:knownFonts="1">
    <font>
      <sz val="10"/>
      <name val="Arial"/>
    </font>
    <font>
      <sz val="10"/>
      <name val="Arial"/>
      <family val="2"/>
    </font>
    <font>
      <sz val="10"/>
      <name val="Arial"/>
      <family val="2"/>
    </font>
    <font>
      <b/>
      <sz val="10"/>
      <name val="Arial"/>
      <family val="2"/>
    </font>
    <font>
      <b/>
      <sz val="10"/>
      <name val="Bookman Old Style"/>
      <family val="1"/>
    </font>
    <font>
      <b/>
      <sz val="18"/>
      <name val="Arial"/>
      <family val="2"/>
    </font>
    <font>
      <b/>
      <sz val="18"/>
      <name val="Bookman Old Style"/>
      <family val="1"/>
    </font>
    <font>
      <b/>
      <sz val="12"/>
      <name val="Bookman Old Style"/>
      <family val="1"/>
    </font>
    <font>
      <b/>
      <sz val="12"/>
      <name val="Arial"/>
      <family val="2"/>
    </font>
    <font>
      <b/>
      <sz val="14"/>
      <name val="Bookman Old Style"/>
      <family val="1"/>
    </font>
    <font>
      <b/>
      <sz val="14"/>
      <name val="Arial"/>
      <family val="2"/>
    </font>
    <font>
      <b/>
      <sz val="10"/>
      <name val="Arial"/>
      <family val="2"/>
    </font>
    <font>
      <sz val="10"/>
      <color indexed="9"/>
      <name val="Bookman Old Style"/>
      <family val="1"/>
    </font>
    <font>
      <sz val="10"/>
      <name val="Bookman Old Style"/>
      <family val="1"/>
    </font>
    <font>
      <b/>
      <sz val="12"/>
      <color indexed="9"/>
      <name val="Bookman Old Style"/>
      <family val="1"/>
    </font>
    <font>
      <sz val="12"/>
      <name val="Bookman Old Style"/>
      <family val="1"/>
    </font>
    <font>
      <b/>
      <sz val="8"/>
      <name val="Bookman Old Style"/>
      <family val="1"/>
    </font>
    <font>
      <b/>
      <sz val="11"/>
      <name val="Bookman Old Style"/>
      <family val="1"/>
    </font>
    <font>
      <sz val="14"/>
      <name val="Arial"/>
      <family val="2"/>
    </font>
    <font>
      <b/>
      <sz val="20"/>
      <name val="Bookman Old Style"/>
      <family val="1"/>
    </font>
    <font>
      <sz val="12"/>
      <name val="Arial"/>
      <family val="2"/>
    </font>
    <font>
      <sz val="20"/>
      <name val="Arial"/>
      <family val="2"/>
    </font>
    <font>
      <b/>
      <sz val="20"/>
      <name val="Arial"/>
      <family val="2"/>
    </font>
    <font>
      <b/>
      <sz val="22"/>
      <name val="Bookman Old Style"/>
      <family val="1"/>
    </font>
    <font>
      <b/>
      <sz val="16"/>
      <name val="Bookman Old Style"/>
      <family val="1"/>
    </font>
    <font>
      <b/>
      <sz val="14"/>
      <name val="Arial"/>
      <family val="2"/>
    </font>
    <font>
      <sz val="14"/>
      <color rgb="FFFF0000"/>
      <name val="Bookman Old Style"/>
      <family val="1"/>
    </font>
    <font>
      <b/>
      <sz val="14"/>
      <color rgb="FFFF0000"/>
      <name val="Bookman Old Style"/>
      <family val="1"/>
    </font>
    <font>
      <sz val="9"/>
      <name val="Bookman Old Style"/>
      <family val="1"/>
    </font>
    <font>
      <sz val="9"/>
      <name val="Arial"/>
      <family val="2"/>
    </font>
    <font>
      <b/>
      <sz val="16"/>
      <color rgb="FFFF0000"/>
      <name val="Bookman Old Style"/>
      <family val="1"/>
    </font>
    <font>
      <b/>
      <u/>
      <sz val="14"/>
      <name val="Bookman Old Style"/>
      <family val="1"/>
    </font>
    <font>
      <u/>
      <sz val="10"/>
      <name val="Arial"/>
      <family val="2"/>
    </font>
    <font>
      <sz val="9"/>
      <color rgb="FF000000"/>
      <name val="Tahoma"/>
      <family val="2"/>
    </font>
  </fonts>
  <fills count="18">
    <fill>
      <patternFill patternType="none"/>
    </fill>
    <fill>
      <patternFill patternType="gray125"/>
    </fill>
    <fill>
      <patternFill patternType="solid">
        <fgColor indexed="19"/>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57"/>
        <bgColor indexed="64"/>
      </patternFill>
    </fill>
    <fill>
      <patternFill patternType="solid">
        <fgColor indexed="41"/>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s>
  <borders count="5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medium">
        <color indexed="11"/>
      </left>
      <right style="medium">
        <color indexed="11"/>
      </right>
      <top style="medium">
        <color indexed="11"/>
      </top>
      <bottom/>
      <diagonal/>
    </border>
    <border>
      <left style="medium">
        <color indexed="11"/>
      </left>
      <right style="medium">
        <color indexed="11"/>
      </right>
      <top style="medium">
        <color indexed="11"/>
      </top>
      <bottom style="medium">
        <color indexed="11"/>
      </bottom>
      <diagonal/>
    </border>
    <border>
      <left style="medium">
        <color indexed="11"/>
      </left>
      <right style="medium">
        <color indexed="11"/>
      </right>
      <top/>
      <bottom style="medium">
        <color indexed="1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FF0000"/>
      </left>
      <right style="medium">
        <color rgb="FFFF0000"/>
      </right>
      <top style="medium">
        <color rgb="FFFF0000"/>
      </top>
      <bottom style="medium">
        <color rgb="FFFF0000"/>
      </bottom>
      <diagonal/>
    </border>
    <border>
      <left/>
      <right style="medium">
        <color rgb="FFFF0000"/>
      </right>
      <top/>
      <bottom style="thin">
        <color auto="1"/>
      </bottom>
      <diagonal/>
    </border>
    <border>
      <left style="thin">
        <color auto="1"/>
      </left>
      <right style="thin">
        <color auto="1"/>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xf numFmtId="164" fontId="1" fillId="0" borderId="0" applyFont="0" applyFill="0" applyBorder="0" applyAlignment="0" applyProtection="0"/>
  </cellStyleXfs>
  <cellXfs count="441">
    <xf numFmtId="0" fontId="0" fillId="0" borderId="0" xfId="0"/>
    <xf numFmtId="2" fontId="0" fillId="0" borderId="0" xfId="0" applyNumberFormat="1"/>
    <xf numFmtId="2" fontId="0" fillId="0" borderId="0" xfId="0" applyNumberFormat="1" applyProtection="1">
      <protection hidden="1"/>
    </xf>
    <xf numFmtId="2" fontId="0" fillId="0" borderId="0" xfId="0" applyNumberFormat="1" applyAlignment="1">
      <alignment horizontal="right"/>
    </xf>
    <xf numFmtId="2" fontId="0" fillId="0" borderId="0" xfId="0" quotePrefix="1" applyNumberFormat="1" applyAlignment="1">
      <alignment horizontal="center"/>
    </xf>
    <xf numFmtId="2" fontId="0" fillId="0" borderId="0" xfId="0" applyNumberFormat="1" applyAlignment="1">
      <alignment horizontal="center"/>
    </xf>
    <xf numFmtId="2" fontId="2" fillId="0" borderId="0" xfId="0" applyNumberFormat="1" applyFont="1"/>
    <xf numFmtId="0" fontId="2" fillId="0" borderId="0" xfId="0" applyFont="1" applyAlignment="1">
      <alignment horizontal="center"/>
    </xf>
    <xf numFmtId="1" fontId="0" fillId="0" borderId="0" xfId="0" applyNumberFormat="1"/>
    <xf numFmtId="165" fontId="0" fillId="0" borderId="0" xfId="0" applyNumberFormat="1"/>
    <xf numFmtId="2" fontId="0" fillId="0" borderId="0" xfId="0" quotePrefix="1" applyNumberFormat="1"/>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3" fillId="3" borderId="0" xfId="0" applyFont="1" applyFill="1" applyAlignment="1" applyProtection="1">
      <alignment horizontal="left"/>
      <protection hidden="1"/>
    </xf>
    <xf numFmtId="0" fontId="3" fillId="4" borderId="0" xfId="0" applyFont="1" applyFill="1" applyAlignment="1" applyProtection="1">
      <alignment horizontal="left"/>
      <protection hidden="1"/>
    </xf>
    <xf numFmtId="2" fontId="3" fillId="4" borderId="0" xfId="0" applyNumberFormat="1" applyFont="1" applyFill="1" applyAlignment="1" applyProtection="1">
      <alignment horizontal="right"/>
      <protection hidden="1"/>
    </xf>
    <xf numFmtId="2" fontId="3" fillId="3" borderId="0" xfId="0" applyNumberFormat="1" applyFont="1" applyFill="1" applyAlignment="1" applyProtection="1">
      <alignment horizontal="right"/>
      <protection hidden="1"/>
    </xf>
    <xf numFmtId="2" fontId="3" fillId="0" borderId="0" xfId="0" applyNumberFormat="1" applyFont="1" applyProtection="1">
      <protection hidden="1"/>
    </xf>
    <xf numFmtId="2" fontId="0" fillId="0" borderId="0" xfId="0" applyNumberFormat="1" applyAlignment="1" applyProtection="1">
      <alignment horizontal="left"/>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6" xfId="0" applyBorder="1" applyAlignment="1" applyProtection="1">
      <alignment horizontal="left"/>
      <protection hidden="1"/>
    </xf>
    <xf numFmtId="0" fontId="0" fillId="0" borderId="7" xfId="0" applyBorder="1" applyAlignment="1" applyProtection="1">
      <alignment horizontal="left"/>
      <protection hidden="1"/>
    </xf>
    <xf numFmtId="0" fontId="0" fillId="0" borderId="8" xfId="0" applyBorder="1" applyAlignment="1" applyProtection="1">
      <alignment horizontal="left"/>
      <protection hidden="1"/>
    </xf>
    <xf numFmtId="2" fontId="0" fillId="0" borderId="5" xfId="0" applyNumberFormat="1" applyBorder="1" applyAlignment="1" applyProtection="1">
      <alignment horizontal="left"/>
      <protection hidden="1"/>
    </xf>
    <xf numFmtId="2" fontId="0" fillId="0" borderId="8" xfId="0" applyNumberFormat="1" applyBorder="1" applyAlignment="1" applyProtection="1">
      <alignment horizontal="left"/>
      <protection hidden="1"/>
    </xf>
    <xf numFmtId="0" fontId="3" fillId="0" borderId="6" xfId="0" applyFont="1" applyBorder="1" applyAlignment="1" applyProtection="1">
      <alignment horizontal="left"/>
      <protection hidden="1"/>
    </xf>
    <xf numFmtId="0" fontId="3" fillId="0" borderId="1" xfId="0" applyFont="1" applyBorder="1" applyAlignment="1" applyProtection="1">
      <alignment horizontal="left"/>
      <protection hidden="1"/>
    </xf>
    <xf numFmtId="0" fontId="3" fillId="0" borderId="4" xfId="0" applyFont="1" applyBorder="1" applyAlignment="1" applyProtection="1">
      <alignment horizontal="left"/>
      <protection hidden="1"/>
    </xf>
    <xf numFmtId="2" fontId="0" fillId="0" borderId="2" xfId="0" applyNumberFormat="1" applyBorder="1" applyAlignment="1" applyProtection="1">
      <alignment horizontal="left"/>
      <protection hidden="1"/>
    </xf>
    <xf numFmtId="0" fontId="0" fillId="0" borderId="0" xfId="0" applyProtection="1">
      <protection hidden="1"/>
    </xf>
    <xf numFmtId="0" fontId="3" fillId="0" borderId="0" xfId="0" applyFont="1" applyAlignment="1" applyProtection="1">
      <alignment horizontal="left"/>
      <protection hidden="1"/>
    </xf>
    <xf numFmtId="0" fontId="3" fillId="0" borderId="0" xfId="0" applyFont="1" applyProtection="1">
      <protection hidden="1"/>
    </xf>
    <xf numFmtId="0" fontId="3" fillId="2" borderId="0" xfId="0" applyFont="1" applyFill="1" applyAlignment="1" applyProtection="1">
      <alignment horizontal="left"/>
      <protection hidden="1"/>
    </xf>
    <xf numFmtId="0" fontId="3" fillId="5" borderId="0" xfId="0" applyFont="1" applyFill="1" applyAlignment="1" applyProtection="1">
      <alignment horizontal="left"/>
      <protection hidden="1"/>
    </xf>
    <xf numFmtId="0" fontId="0" fillId="0" borderId="13" xfId="0" applyBorder="1" applyAlignment="1" applyProtection="1">
      <alignment horizontal="left"/>
      <protection hidden="1"/>
    </xf>
    <xf numFmtId="0" fontId="0" fillId="0" borderId="9" xfId="0" applyBorder="1" applyAlignment="1" applyProtection="1">
      <alignment horizontal="left"/>
      <protection hidden="1"/>
    </xf>
    <xf numFmtId="0" fontId="0" fillId="0" borderId="14" xfId="0" applyBorder="1" applyAlignment="1" applyProtection="1">
      <alignment horizontal="left"/>
      <protection hidden="1"/>
    </xf>
    <xf numFmtId="0" fontId="3" fillId="0" borderId="5" xfId="0" applyFont="1" applyBorder="1" applyAlignment="1" applyProtection="1">
      <alignment horizontal="left"/>
      <protection hidden="1"/>
    </xf>
    <xf numFmtId="2" fontId="0" fillId="0" borderId="7" xfId="0" applyNumberFormat="1" applyBorder="1" applyAlignment="1" applyProtection="1">
      <alignment horizontal="left"/>
      <protection hidden="1"/>
    </xf>
    <xf numFmtId="0" fontId="3" fillId="0" borderId="2" xfId="0" applyFont="1" applyBorder="1" applyAlignment="1" applyProtection="1">
      <alignment horizontal="left"/>
      <protection hidden="1"/>
    </xf>
    <xf numFmtId="2" fontId="3" fillId="4" borderId="7" xfId="0" applyNumberFormat="1" applyFont="1" applyFill="1" applyBorder="1" applyAlignment="1" applyProtection="1">
      <alignment horizontal="right"/>
      <protection hidden="1"/>
    </xf>
    <xf numFmtId="0" fontId="3" fillId="4" borderId="0" xfId="0" applyFont="1" applyFill="1" applyAlignment="1" applyProtection="1">
      <alignment horizontal="right"/>
      <protection hidden="1"/>
    </xf>
    <xf numFmtId="1" fontId="0" fillId="0" borderId="0" xfId="0" applyNumberFormat="1" applyAlignment="1" applyProtection="1">
      <alignment horizontal="left"/>
      <protection hidden="1"/>
    </xf>
    <xf numFmtId="1" fontId="0" fillId="0" borderId="7" xfId="0" applyNumberFormat="1" applyBorder="1" applyAlignment="1" applyProtection="1">
      <alignment horizontal="left"/>
      <protection hidden="1"/>
    </xf>
    <xf numFmtId="0" fontId="3" fillId="0" borderId="15" xfId="0" applyFon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1" xfId="0" applyBorder="1"/>
    <xf numFmtId="0" fontId="0" fillId="0" borderId="9" xfId="0" applyBorder="1"/>
    <xf numFmtId="0" fontId="3" fillId="0" borderId="20" xfId="0" applyFont="1" applyBorder="1"/>
    <xf numFmtId="0" fontId="3" fillId="0" borderId="0" xfId="0" applyFont="1"/>
    <xf numFmtId="0" fontId="0" fillId="0" borderId="1" xfId="0" applyBorder="1"/>
    <xf numFmtId="0" fontId="0" fillId="0" borderId="2" xfId="0" applyBorder="1"/>
    <xf numFmtId="0" fontId="0" fillId="0" borderId="3" xfId="0" applyBorder="1"/>
    <xf numFmtId="0" fontId="3" fillId="0" borderId="4" xfId="0" applyFont="1" applyBorder="1"/>
    <xf numFmtId="0" fontId="3" fillId="0" borderId="5" xfId="0" applyFont="1" applyBorder="1"/>
    <xf numFmtId="0" fontId="0" fillId="0" borderId="6" xfId="0" applyBorder="1"/>
    <xf numFmtId="0" fontId="0" fillId="0" borderId="7" xfId="0" applyBorder="1"/>
    <xf numFmtId="0" fontId="0" fillId="0" borderId="8" xfId="0" applyBorder="1"/>
    <xf numFmtId="0" fontId="3" fillId="0" borderId="18" xfId="0" applyFont="1" applyBorder="1"/>
    <xf numFmtId="0" fontId="0" fillId="0" borderId="16" xfId="0" applyBorder="1" applyAlignment="1" applyProtection="1">
      <alignment horizontal="left"/>
      <protection hidden="1"/>
    </xf>
    <xf numFmtId="0" fontId="0" fillId="0" borderId="17" xfId="0" applyBorder="1" applyAlignment="1" applyProtection="1">
      <alignment horizontal="left"/>
      <protection hidden="1"/>
    </xf>
    <xf numFmtId="0" fontId="0" fillId="0" borderId="19" xfId="0" applyBorder="1" applyAlignment="1" applyProtection="1">
      <alignment horizontal="left"/>
      <protection hidden="1"/>
    </xf>
    <xf numFmtId="0" fontId="0" fillId="0" borderId="20" xfId="0" applyBorder="1" applyAlignment="1" applyProtection="1">
      <alignment horizontal="left"/>
      <protection hidden="1"/>
    </xf>
    <xf numFmtId="0" fontId="0" fillId="6" borderId="1" xfId="0" applyFill="1" applyBorder="1" applyProtection="1">
      <protection hidden="1"/>
    </xf>
    <xf numFmtId="0" fontId="0" fillId="6" borderId="2" xfId="0" applyFill="1" applyBorder="1" applyProtection="1">
      <protection hidden="1"/>
    </xf>
    <xf numFmtId="0" fontId="0" fillId="6" borderId="3" xfId="0" applyFill="1" applyBorder="1" applyProtection="1">
      <protection hidden="1"/>
    </xf>
    <xf numFmtId="0" fontId="3" fillId="7" borderId="22" xfId="0" applyFont="1" applyFill="1" applyBorder="1" applyProtection="1">
      <protection hidden="1"/>
    </xf>
    <xf numFmtId="0" fontId="0" fillId="7" borderId="16" xfId="0" applyFill="1" applyBorder="1" applyProtection="1">
      <protection hidden="1"/>
    </xf>
    <xf numFmtId="0" fontId="3" fillId="6" borderId="23" xfId="0" applyFont="1" applyFill="1" applyBorder="1" applyProtection="1">
      <protection hidden="1"/>
    </xf>
    <xf numFmtId="0" fontId="0" fillId="6" borderId="24" xfId="0" applyFill="1" applyBorder="1" applyProtection="1">
      <protection hidden="1"/>
    </xf>
    <xf numFmtId="0" fontId="3" fillId="7" borderId="23" xfId="0" applyFont="1" applyFill="1" applyBorder="1" applyProtection="1">
      <protection hidden="1"/>
    </xf>
    <xf numFmtId="0" fontId="0" fillId="7" borderId="24" xfId="0" applyFill="1" applyBorder="1" applyProtection="1">
      <protection hidden="1"/>
    </xf>
    <xf numFmtId="0" fontId="3" fillId="6" borderId="4" xfId="0" applyFont="1" applyFill="1" applyBorder="1" applyAlignment="1" applyProtection="1">
      <alignment horizontal="center"/>
      <protection hidden="1"/>
    </xf>
    <xf numFmtId="0" fontId="3" fillId="6" borderId="0" xfId="0" applyFont="1" applyFill="1" applyAlignment="1" applyProtection="1">
      <alignment horizontal="center"/>
      <protection hidden="1"/>
    </xf>
    <xf numFmtId="0" fontId="3" fillId="6" borderId="5" xfId="0" applyFont="1" applyFill="1" applyBorder="1" applyAlignment="1" applyProtection="1">
      <alignment horizontal="center"/>
      <protection hidden="1"/>
    </xf>
    <xf numFmtId="0" fontId="3" fillId="7" borderId="4" xfId="0" applyFont="1" applyFill="1" applyBorder="1" applyProtection="1">
      <protection hidden="1"/>
    </xf>
    <xf numFmtId="0" fontId="0" fillId="7" borderId="0" xfId="0" applyFill="1" applyProtection="1">
      <protection hidden="1"/>
    </xf>
    <xf numFmtId="0" fontId="0" fillId="7" borderId="5" xfId="0" applyFill="1" applyBorder="1" applyProtection="1">
      <protection hidden="1"/>
    </xf>
    <xf numFmtId="0" fontId="3" fillId="6" borderId="4" xfId="0" applyFont="1" applyFill="1" applyBorder="1" applyProtection="1">
      <protection hidden="1"/>
    </xf>
    <xf numFmtId="0" fontId="0" fillId="6" borderId="0" xfId="0" applyFill="1" applyProtection="1">
      <protection hidden="1"/>
    </xf>
    <xf numFmtId="0" fontId="0" fillId="6" borderId="5" xfId="0" applyFill="1" applyBorder="1" applyProtection="1">
      <protection hidden="1"/>
    </xf>
    <xf numFmtId="0" fontId="0" fillId="6" borderId="4" xfId="0" applyFill="1" applyBorder="1" applyProtection="1">
      <protection hidden="1"/>
    </xf>
    <xf numFmtId="0" fontId="3" fillId="6" borderId="0" xfId="0" applyFont="1" applyFill="1" applyProtection="1">
      <protection hidden="1"/>
    </xf>
    <xf numFmtId="0" fontId="3" fillId="7" borderId="0" xfId="0" applyFont="1" applyFill="1" applyProtection="1">
      <protection hidden="1"/>
    </xf>
    <xf numFmtId="0" fontId="3" fillId="7" borderId="5" xfId="0" applyFont="1" applyFill="1" applyBorder="1" applyProtection="1">
      <protection hidden="1"/>
    </xf>
    <xf numFmtId="0" fontId="3" fillId="6" borderId="5" xfId="0" applyFont="1" applyFill="1" applyBorder="1" applyProtection="1">
      <protection hidden="1"/>
    </xf>
    <xf numFmtId="0" fontId="3" fillId="6" borderId="6" xfId="0" applyFont="1" applyFill="1" applyBorder="1" applyProtection="1">
      <protection hidden="1"/>
    </xf>
    <xf numFmtId="0" fontId="3" fillId="6" borderId="7" xfId="0" applyFont="1" applyFill="1" applyBorder="1" applyProtection="1">
      <protection hidden="1"/>
    </xf>
    <xf numFmtId="0" fontId="3" fillId="6" borderId="8" xfId="0" applyFont="1" applyFill="1" applyBorder="1" applyProtection="1">
      <protection hidden="1"/>
    </xf>
    <xf numFmtId="0" fontId="3" fillId="7" borderId="6" xfId="0" applyFont="1" applyFill="1" applyBorder="1" applyProtection="1">
      <protection hidden="1"/>
    </xf>
    <xf numFmtId="0" fontId="3" fillId="7" borderId="7" xfId="0" applyFont="1" applyFill="1" applyBorder="1" applyProtection="1">
      <protection hidden="1"/>
    </xf>
    <xf numFmtId="0" fontId="3" fillId="7" borderId="8" xfId="0" applyFont="1" applyFill="1" applyBorder="1" applyProtection="1">
      <protection hidden="1"/>
    </xf>
    <xf numFmtId="0" fontId="3" fillId="6" borderId="13" xfId="0" applyFont="1" applyFill="1" applyBorder="1" applyProtection="1">
      <protection hidden="1"/>
    </xf>
    <xf numFmtId="0" fontId="0" fillId="6" borderId="9" xfId="0" applyFill="1" applyBorder="1" applyProtection="1">
      <protection hidden="1"/>
    </xf>
    <xf numFmtId="0" fontId="3" fillId="6" borderId="14" xfId="0" applyFont="1" applyFill="1" applyBorder="1" applyProtection="1">
      <protection hidden="1"/>
    </xf>
    <xf numFmtId="0" fontId="0" fillId="7" borderId="6" xfId="0" applyFill="1" applyBorder="1" applyProtection="1">
      <protection hidden="1"/>
    </xf>
    <xf numFmtId="0" fontId="0" fillId="7" borderId="7" xfId="0" applyFill="1" applyBorder="1" applyProtection="1">
      <protection hidden="1"/>
    </xf>
    <xf numFmtId="0" fontId="0" fillId="7" borderId="8" xfId="0" applyFill="1" applyBorder="1" applyProtection="1">
      <protection hidden="1"/>
    </xf>
    <xf numFmtId="0" fontId="0" fillId="7" borderId="2" xfId="0" applyFill="1" applyBorder="1" applyProtection="1">
      <protection hidden="1"/>
    </xf>
    <xf numFmtId="0" fontId="0" fillId="7" borderId="3" xfId="0" applyFill="1" applyBorder="1" applyProtection="1">
      <protection hidden="1"/>
    </xf>
    <xf numFmtId="0" fontId="5" fillId="7" borderId="1" xfId="0" applyFont="1" applyFill="1" applyBorder="1" applyProtection="1">
      <protection hidden="1"/>
    </xf>
    <xf numFmtId="0" fontId="3" fillId="7" borderId="25" xfId="0" applyFont="1" applyFill="1" applyBorder="1" applyProtection="1">
      <protection hidden="1"/>
    </xf>
    <xf numFmtId="0" fontId="3" fillId="6" borderId="26" xfId="0" applyFont="1" applyFill="1" applyBorder="1" applyProtection="1">
      <protection hidden="1"/>
    </xf>
    <xf numFmtId="0" fontId="3" fillId="7" borderId="26" xfId="0" applyFont="1" applyFill="1" applyBorder="1" applyProtection="1">
      <protection hidden="1"/>
    </xf>
    <xf numFmtId="0" fontId="3" fillId="6" borderId="26" xfId="0" applyFont="1" applyFill="1" applyBorder="1" applyAlignment="1" applyProtection="1">
      <alignment horizontal="right"/>
      <protection hidden="1"/>
    </xf>
    <xf numFmtId="0" fontId="4" fillId="6" borderId="18" xfId="0" applyFont="1" applyFill="1" applyBorder="1" applyAlignment="1" applyProtection="1">
      <alignment horizontal="center"/>
      <protection hidden="1"/>
    </xf>
    <xf numFmtId="0" fontId="4" fillId="6" borderId="0" xfId="0" applyFont="1" applyFill="1" applyAlignment="1" applyProtection="1">
      <alignment horizontal="center"/>
      <protection hidden="1"/>
    </xf>
    <xf numFmtId="0" fontId="4" fillId="6" borderId="19" xfId="0" applyFont="1" applyFill="1" applyBorder="1" applyAlignment="1" applyProtection="1">
      <alignment horizontal="center"/>
      <protection hidden="1"/>
    </xf>
    <xf numFmtId="0" fontId="7" fillId="6" borderId="0" xfId="0" applyFont="1" applyFill="1" applyProtection="1">
      <protection hidden="1"/>
    </xf>
    <xf numFmtId="0" fontId="8" fillId="6" borderId="0" xfId="0" applyFont="1" applyFill="1" applyProtection="1">
      <protection hidden="1"/>
    </xf>
    <xf numFmtId="0" fontId="10" fillId="6" borderId="19" xfId="0" applyFont="1" applyFill="1" applyBorder="1" applyProtection="1">
      <protection hidden="1"/>
    </xf>
    <xf numFmtId="0" fontId="4" fillId="6" borderId="27" xfId="0" applyFont="1" applyFill="1" applyBorder="1" applyAlignment="1" applyProtection="1">
      <alignment horizontal="center"/>
      <protection hidden="1"/>
    </xf>
    <xf numFmtId="0" fontId="4" fillId="6" borderId="28" xfId="0" applyFont="1" applyFill="1" applyBorder="1" applyAlignment="1" applyProtection="1">
      <alignment horizontal="center"/>
      <protection hidden="1"/>
    </xf>
    <xf numFmtId="0" fontId="4" fillId="6" borderId="18" xfId="0" applyFont="1" applyFill="1" applyBorder="1" applyProtection="1">
      <protection hidden="1"/>
    </xf>
    <xf numFmtId="0" fontId="4" fillId="6" borderId="0" xfId="0" applyFont="1" applyFill="1" applyProtection="1">
      <protection hidden="1"/>
    </xf>
    <xf numFmtId="0" fontId="4" fillId="6" borderId="19" xfId="0" applyFont="1" applyFill="1" applyBorder="1" applyProtection="1">
      <protection hidden="1"/>
    </xf>
    <xf numFmtId="0" fontId="11" fillId="6" borderId="0" xfId="0" applyFont="1" applyFill="1" applyProtection="1">
      <protection hidden="1"/>
    </xf>
    <xf numFmtId="0" fontId="11" fillId="6" borderId="19" xfId="0" applyFont="1" applyFill="1" applyBorder="1" applyProtection="1">
      <protection hidden="1"/>
    </xf>
    <xf numFmtId="0" fontId="4" fillId="8" borderId="29" xfId="0" applyFont="1" applyFill="1" applyBorder="1" applyAlignment="1" applyProtection="1">
      <alignment horizontal="center"/>
      <protection hidden="1"/>
    </xf>
    <xf numFmtId="2" fontId="4" fillId="8" borderId="29" xfId="0" applyNumberFormat="1" applyFont="1" applyFill="1" applyBorder="1" applyProtection="1">
      <protection hidden="1"/>
    </xf>
    <xf numFmtId="0" fontId="4" fillId="8" borderId="29" xfId="0" applyFont="1" applyFill="1" applyBorder="1" applyProtection="1">
      <protection hidden="1"/>
    </xf>
    <xf numFmtId="0" fontId="4" fillId="6" borderId="29" xfId="0" applyFont="1" applyFill="1" applyBorder="1" applyAlignment="1" applyProtection="1">
      <alignment horizontal="center"/>
      <protection hidden="1"/>
    </xf>
    <xf numFmtId="2" fontId="4" fillId="6" borderId="29" xfId="0" applyNumberFormat="1" applyFont="1" applyFill="1" applyBorder="1" applyProtection="1">
      <protection hidden="1"/>
    </xf>
    <xf numFmtId="0" fontId="4" fillId="6" borderId="29" xfId="0" applyFont="1" applyFill="1" applyBorder="1" applyProtection="1">
      <protection hidden="1"/>
    </xf>
    <xf numFmtId="0" fontId="9" fillId="8" borderId="19" xfId="0" applyFont="1" applyFill="1" applyBorder="1" applyProtection="1">
      <protection hidden="1"/>
    </xf>
    <xf numFmtId="1" fontId="9" fillId="8" borderId="19" xfId="0" applyNumberFormat="1" applyFont="1" applyFill="1" applyBorder="1" applyProtection="1">
      <protection hidden="1"/>
    </xf>
    <xf numFmtId="0" fontId="7" fillId="8" borderId="19" xfId="0" applyFont="1" applyFill="1" applyBorder="1" applyProtection="1">
      <protection locked="0" hidden="1"/>
    </xf>
    <xf numFmtId="0" fontId="4" fillId="8" borderId="0" xfId="0" applyFont="1" applyFill="1" applyAlignment="1" applyProtection="1">
      <alignment horizontal="right"/>
      <protection hidden="1"/>
    </xf>
    <xf numFmtId="0" fontId="4" fillId="8" borderId="0" xfId="0" applyFont="1" applyFill="1" applyProtection="1">
      <protection hidden="1"/>
    </xf>
    <xf numFmtId="2" fontId="4" fillId="8" borderId="0" xfId="0" applyNumberFormat="1" applyFont="1" applyFill="1" applyProtection="1">
      <protection hidden="1"/>
    </xf>
    <xf numFmtId="0" fontId="17" fillId="0" borderId="0" xfId="0" applyFont="1" applyAlignment="1" applyProtection="1">
      <alignment horizontal="left"/>
      <protection hidden="1"/>
    </xf>
    <xf numFmtId="0" fontId="16" fillId="0" borderId="0" xfId="0" applyFont="1" applyAlignment="1" applyProtection="1">
      <alignment horizontal="left"/>
      <protection hidden="1"/>
    </xf>
    <xf numFmtId="0" fontId="13" fillId="0" borderId="0" xfId="0" applyFont="1" applyAlignment="1" applyProtection="1">
      <alignment horizontal="left"/>
      <protection hidden="1"/>
    </xf>
    <xf numFmtId="0" fontId="13" fillId="0" borderId="0" xfId="0" applyFont="1" applyAlignment="1" applyProtection="1">
      <alignment horizontal="center"/>
      <protection hidden="1"/>
    </xf>
    <xf numFmtId="0" fontId="13" fillId="9" borderId="4" xfId="0" applyFont="1" applyFill="1" applyBorder="1" applyAlignment="1" applyProtection="1">
      <alignment horizontal="left"/>
      <protection hidden="1"/>
    </xf>
    <xf numFmtId="0" fontId="13" fillId="9" borderId="5" xfId="0" applyFont="1" applyFill="1" applyBorder="1" applyAlignment="1" applyProtection="1">
      <alignment horizontal="left"/>
      <protection hidden="1"/>
    </xf>
    <xf numFmtId="0" fontId="7" fillId="10" borderId="0" xfId="0" applyFont="1" applyFill="1" applyAlignment="1" applyProtection="1">
      <alignment horizontal="left"/>
      <protection hidden="1"/>
    </xf>
    <xf numFmtId="0" fontId="15" fillId="10" borderId="0" xfId="0" applyFont="1" applyFill="1" applyAlignment="1" applyProtection="1">
      <alignment horizontal="left"/>
      <protection hidden="1"/>
    </xf>
    <xf numFmtId="0" fontId="7" fillId="10" borderId="0" xfId="0" applyFont="1" applyFill="1" applyAlignment="1" applyProtection="1">
      <alignment horizontal="center"/>
      <protection hidden="1"/>
    </xf>
    <xf numFmtId="2" fontId="7" fillId="10" borderId="0" xfId="0" applyNumberFormat="1" applyFont="1" applyFill="1" applyProtection="1">
      <protection hidden="1"/>
    </xf>
    <xf numFmtId="0" fontId="7" fillId="11" borderId="0" xfId="0" applyFont="1" applyFill="1" applyAlignment="1" applyProtection="1">
      <alignment horizontal="left"/>
      <protection hidden="1"/>
    </xf>
    <xf numFmtId="0" fontId="7" fillId="11" borderId="0" xfId="0" applyFont="1" applyFill="1" applyAlignment="1" applyProtection="1">
      <alignment horizontal="center"/>
      <protection hidden="1"/>
    </xf>
    <xf numFmtId="0" fontId="7" fillId="11" borderId="12" xfId="0" applyFont="1" applyFill="1" applyBorder="1" applyAlignment="1" applyProtection="1">
      <alignment horizontal="center"/>
      <protection locked="0" hidden="1"/>
    </xf>
    <xf numFmtId="2" fontId="7" fillId="11" borderId="0" xfId="0" applyNumberFormat="1" applyFont="1" applyFill="1" applyAlignment="1" applyProtection="1">
      <alignment horizontal="right"/>
      <protection hidden="1"/>
    </xf>
    <xf numFmtId="1" fontId="7" fillId="11" borderId="11" xfId="0" applyNumberFormat="1" applyFont="1" applyFill="1" applyBorder="1" applyAlignment="1" applyProtection="1">
      <alignment horizontal="center"/>
      <protection locked="0" hidden="1"/>
    </xf>
    <xf numFmtId="2" fontId="7" fillId="11" borderId="11" xfId="0" applyNumberFormat="1" applyFont="1" applyFill="1" applyBorder="1" applyProtection="1">
      <protection locked="0" hidden="1"/>
    </xf>
    <xf numFmtId="2" fontId="7" fillId="11" borderId="0" xfId="0" applyNumberFormat="1" applyFont="1" applyFill="1" applyAlignment="1" applyProtection="1">
      <alignment horizontal="center"/>
      <protection hidden="1"/>
    </xf>
    <xf numFmtId="0" fontId="0" fillId="9" borderId="1" xfId="0" applyFill="1" applyBorder="1" applyAlignment="1" applyProtection="1">
      <alignment horizontal="left"/>
      <protection hidden="1"/>
    </xf>
    <xf numFmtId="0" fontId="0" fillId="9" borderId="2" xfId="0" applyFill="1" applyBorder="1" applyAlignment="1" applyProtection="1">
      <alignment horizontal="left"/>
      <protection hidden="1"/>
    </xf>
    <xf numFmtId="0" fontId="0" fillId="9" borderId="3" xfId="0" applyFill="1" applyBorder="1" applyAlignment="1" applyProtection="1">
      <alignment horizontal="left"/>
      <protection hidden="1"/>
    </xf>
    <xf numFmtId="0" fontId="20" fillId="0" borderId="0" xfId="0" applyFont="1" applyAlignment="1" applyProtection="1">
      <alignment horizontal="left"/>
      <protection hidden="1"/>
    </xf>
    <xf numFmtId="0" fontId="7" fillId="0" borderId="0" xfId="0" applyFont="1" applyAlignment="1" applyProtection="1">
      <alignment horizontal="left"/>
      <protection hidden="1"/>
    </xf>
    <xf numFmtId="0" fontId="15" fillId="0" borderId="0" xfId="0" applyFont="1" applyAlignment="1" applyProtection="1">
      <alignment horizontal="left"/>
      <protection hidden="1"/>
    </xf>
    <xf numFmtId="0" fontId="7" fillId="0" borderId="0" xfId="0" applyFont="1" applyAlignment="1" applyProtection="1">
      <alignment horizontal="center"/>
      <protection hidden="1"/>
    </xf>
    <xf numFmtId="0" fontId="15" fillId="9" borderId="4" xfId="0" applyFont="1" applyFill="1" applyBorder="1" applyAlignment="1" applyProtection="1">
      <alignment horizontal="left"/>
      <protection hidden="1"/>
    </xf>
    <xf numFmtId="0" fontId="7" fillId="10" borderId="10" xfId="0" applyFont="1" applyFill="1" applyBorder="1" applyProtection="1">
      <protection locked="0" hidden="1"/>
    </xf>
    <xf numFmtId="0" fontId="14" fillId="9" borderId="0" xfId="0" applyFont="1" applyFill="1" applyAlignment="1" applyProtection="1">
      <alignment horizontal="left"/>
      <protection hidden="1"/>
    </xf>
    <xf numFmtId="0" fontId="15" fillId="9" borderId="5" xfId="0" applyFont="1" applyFill="1" applyBorder="1" applyAlignment="1" applyProtection="1">
      <alignment horizontal="left"/>
      <protection hidden="1"/>
    </xf>
    <xf numFmtId="0" fontId="7" fillId="11" borderId="11" xfId="0" applyFont="1" applyFill="1" applyBorder="1" applyProtection="1">
      <protection locked="0" hidden="1"/>
    </xf>
    <xf numFmtId="2" fontId="7" fillId="11" borderId="0" xfId="0" applyNumberFormat="1" applyFont="1" applyFill="1" applyProtection="1">
      <protection hidden="1"/>
    </xf>
    <xf numFmtId="0" fontId="7" fillId="10" borderId="11" xfId="0" applyFont="1" applyFill="1" applyBorder="1" applyProtection="1">
      <protection locked="0" hidden="1"/>
    </xf>
    <xf numFmtId="0" fontId="7" fillId="9" borderId="0" xfId="0" applyFont="1" applyFill="1" applyAlignment="1" applyProtection="1">
      <alignment horizontal="left"/>
      <protection hidden="1"/>
    </xf>
    <xf numFmtId="0" fontId="7" fillId="9" borderId="0" xfId="0" applyFont="1" applyFill="1" applyAlignment="1" applyProtection="1">
      <alignment horizontal="center"/>
      <protection hidden="1"/>
    </xf>
    <xf numFmtId="2" fontId="7" fillId="9" borderId="0" xfId="0" applyNumberFormat="1" applyFont="1" applyFill="1" applyProtection="1">
      <protection hidden="1"/>
    </xf>
    <xf numFmtId="0" fontId="7" fillId="10" borderId="11" xfId="0" applyFont="1" applyFill="1" applyBorder="1" applyAlignment="1" applyProtection="1">
      <alignment horizontal="center"/>
      <protection locked="0" hidden="1"/>
    </xf>
    <xf numFmtId="2" fontId="7" fillId="10" borderId="0" xfId="0" applyNumberFormat="1" applyFont="1" applyFill="1" applyAlignment="1" applyProtection="1">
      <alignment horizontal="right"/>
      <protection hidden="1"/>
    </xf>
    <xf numFmtId="0" fontId="7" fillId="10" borderId="0" xfId="0" applyFont="1" applyFill="1" applyAlignment="1" applyProtection="1">
      <alignment horizontal="right"/>
      <protection hidden="1"/>
    </xf>
    <xf numFmtId="0" fontId="7" fillId="11" borderId="11" xfId="0" applyFont="1" applyFill="1" applyBorder="1" applyAlignment="1" applyProtection="1">
      <alignment horizontal="center"/>
      <protection locked="0" hidden="1"/>
    </xf>
    <xf numFmtId="0" fontId="7" fillId="11" borderId="0" xfId="0" applyFont="1" applyFill="1" applyAlignment="1" applyProtection="1">
      <alignment horizontal="right"/>
      <protection hidden="1"/>
    </xf>
    <xf numFmtId="165" fontId="7" fillId="10" borderId="0" xfId="0" applyNumberFormat="1" applyFont="1" applyFill="1" applyAlignment="1" applyProtection="1">
      <alignment horizontal="right"/>
      <protection hidden="1"/>
    </xf>
    <xf numFmtId="1" fontId="7" fillId="10" borderId="12" xfId="0" applyNumberFormat="1" applyFont="1" applyFill="1" applyBorder="1" applyAlignment="1" applyProtection="1">
      <alignment horizontal="center"/>
      <protection locked="0" hidden="1"/>
    </xf>
    <xf numFmtId="2" fontId="7" fillId="10" borderId="11" xfId="0" applyNumberFormat="1" applyFont="1" applyFill="1" applyBorder="1" applyProtection="1">
      <protection locked="0" hidden="1"/>
    </xf>
    <xf numFmtId="2" fontId="7" fillId="10" borderId="0" xfId="0" applyNumberFormat="1" applyFont="1" applyFill="1" applyAlignment="1" applyProtection="1">
      <alignment horizontal="center"/>
      <protection hidden="1"/>
    </xf>
    <xf numFmtId="0" fontId="7" fillId="10" borderId="9" xfId="0" applyFont="1" applyFill="1" applyBorder="1" applyAlignment="1" applyProtection="1">
      <alignment horizontal="left"/>
      <protection hidden="1"/>
    </xf>
    <xf numFmtId="0" fontId="15" fillId="10" borderId="9" xfId="0" applyFont="1" applyFill="1" applyBorder="1" applyAlignment="1" applyProtection="1">
      <alignment horizontal="left"/>
      <protection hidden="1"/>
    </xf>
    <xf numFmtId="1" fontId="7" fillId="10" borderId="11" xfId="0" applyNumberFormat="1" applyFont="1" applyFill="1" applyBorder="1" applyAlignment="1" applyProtection="1">
      <alignment horizontal="center"/>
      <protection locked="0" hidden="1"/>
    </xf>
    <xf numFmtId="0" fontId="15" fillId="11" borderId="0" xfId="0" applyFont="1" applyFill="1" applyAlignment="1" applyProtection="1">
      <alignment horizontal="left"/>
      <protection hidden="1"/>
    </xf>
    <xf numFmtId="0" fontId="15" fillId="9" borderId="0" xfId="0" applyFont="1" applyFill="1" applyAlignment="1" applyProtection="1">
      <alignment horizontal="left"/>
      <protection hidden="1"/>
    </xf>
    <xf numFmtId="2" fontId="15" fillId="10" borderId="0" xfId="0" applyNumberFormat="1" applyFont="1" applyFill="1" applyAlignment="1" applyProtection="1">
      <alignment horizontal="left"/>
      <protection hidden="1"/>
    </xf>
    <xf numFmtId="0" fontId="4" fillId="0" borderId="0" xfId="0" applyFont="1" applyProtection="1">
      <protection hidden="1"/>
    </xf>
    <xf numFmtId="0" fontId="0" fillId="0" borderId="15"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1" xfId="0" applyBorder="1" applyProtection="1">
      <protection hidden="1"/>
    </xf>
    <xf numFmtId="0" fontId="0" fillId="0" borderId="9" xfId="0" applyBorder="1" applyProtection="1">
      <protection hidden="1"/>
    </xf>
    <xf numFmtId="0" fontId="0" fillId="0" borderId="20" xfId="0" applyBorder="1" applyProtection="1">
      <protection hidden="1"/>
    </xf>
    <xf numFmtId="0" fontId="25" fillId="11" borderId="0" xfId="0" applyFont="1" applyFill="1" applyAlignment="1" applyProtection="1">
      <alignment horizontal="center"/>
      <protection hidden="1"/>
    </xf>
    <xf numFmtId="0" fontId="3" fillId="11" borderId="0" xfId="0" applyFont="1" applyFill="1" applyAlignment="1" applyProtection="1">
      <alignment horizontal="center"/>
      <protection hidden="1"/>
    </xf>
    <xf numFmtId="0" fontId="0" fillId="0" borderId="0" xfId="0" applyAlignment="1">
      <alignment horizontal="center"/>
    </xf>
    <xf numFmtId="0" fontId="0" fillId="0" borderId="0" xfId="0" applyAlignment="1" applyProtection="1">
      <alignment horizontal="center"/>
      <protection hidden="1"/>
    </xf>
    <xf numFmtId="0" fontId="12" fillId="14" borderId="4" xfId="0" applyFont="1" applyFill="1" applyBorder="1" applyAlignment="1" applyProtection="1">
      <alignment horizontal="left"/>
      <protection hidden="1"/>
    </xf>
    <xf numFmtId="0" fontId="13" fillId="14" borderId="4" xfId="0" applyFont="1" applyFill="1" applyBorder="1" applyAlignment="1" applyProtection="1">
      <alignment horizontal="left"/>
      <protection hidden="1"/>
    </xf>
    <xf numFmtId="0" fontId="17" fillId="14" borderId="6" xfId="0" applyFont="1" applyFill="1" applyBorder="1" applyAlignment="1" applyProtection="1">
      <alignment horizontal="left"/>
      <protection hidden="1"/>
    </xf>
    <xf numFmtId="0" fontId="13" fillId="14" borderId="5" xfId="0" applyFont="1" applyFill="1" applyBorder="1" applyAlignment="1" applyProtection="1">
      <alignment horizontal="left"/>
      <protection hidden="1"/>
    </xf>
    <xf numFmtId="0" fontId="13" fillId="14" borderId="8" xfId="0" applyFont="1" applyFill="1" applyBorder="1" applyAlignment="1" applyProtection="1">
      <alignment horizontal="left"/>
      <protection hidden="1"/>
    </xf>
    <xf numFmtId="0" fontId="16" fillId="14" borderId="7" xfId="0" applyFont="1" applyFill="1" applyBorder="1" applyAlignment="1" applyProtection="1">
      <alignment horizontal="left"/>
      <protection hidden="1"/>
    </xf>
    <xf numFmtId="0" fontId="13" fillId="14" borderId="7" xfId="0" applyFont="1" applyFill="1" applyBorder="1" applyAlignment="1" applyProtection="1">
      <alignment horizontal="left"/>
      <protection hidden="1"/>
    </xf>
    <xf numFmtId="0" fontId="13" fillId="14" borderId="7" xfId="0" applyFont="1" applyFill="1" applyBorder="1" applyAlignment="1" applyProtection="1">
      <alignment horizontal="center"/>
      <protection hidden="1"/>
    </xf>
    <xf numFmtId="0" fontId="7" fillId="15" borderId="4" xfId="0" applyFont="1" applyFill="1" applyBorder="1" applyAlignment="1" applyProtection="1">
      <alignment horizontal="left"/>
      <protection hidden="1"/>
    </xf>
    <xf numFmtId="0" fontId="7" fillId="15" borderId="0" xfId="0" applyFont="1" applyFill="1" applyAlignment="1" applyProtection="1">
      <alignment horizontal="left"/>
      <protection hidden="1"/>
    </xf>
    <xf numFmtId="0" fontId="7" fillId="15" borderId="0" xfId="0" applyFont="1" applyFill="1" applyAlignment="1" applyProtection="1">
      <alignment horizontal="center"/>
      <protection hidden="1"/>
    </xf>
    <xf numFmtId="0" fontId="14" fillId="15" borderId="0" xfId="0" applyFont="1" applyFill="1" applyAlignment="1" applyProtection="1">
      <alignment horizontal="left"/>
      <protection hidden="1"/>
    </xf>
    <xf numFmtId="0" fontId="14" fillId="13" borderId="0" xfId="0" applyFont="1" applyFill="1" applyAlignment="1" applyProtection="1">
      <alignment horizontal="left"/>
      <protection hidden="1"/>
    </xf>
    <xf numFmtId="0" fontId="7" fillId="13" borderId="4" xfId="0" applyFont="1" applyFill="1" applyBorder="1" applyAlignment="1" applyProtection="1">
      <alignment horizontal="left"/>
      <protection hidden="1"/>
    </xf>
    <xf numFmtId="0" fontId="7" fillId="13" borderId="0" xfId="0" applyFont="1" applyFill="1" applyAlignment="1" applyProtection="1">
      <alignment horizontal="left"/>
      <protection hidden="1"/>
    </xf>
    <xf numFmtId="0" fontId="7" fillId="13" borderId="0" xfId="0" applyFont="1" applyFill="1" applyAlignment="1" applyProtection="1">
      <alignment horizontal="center"/>
      <protection hidden="1"/>
    </xf>
    <xf numFmtId="2" fontId="7" fillId="13" borderId="5" xfId="0" applyNumberFormat="1" applyFont="1" applyFill="1" applyBorder="1" applyProtection="1">
      <protection hidden="1"/>
    </xf>
    <xf numFmtId="2" fontId="7" fillId="13" borderId="0" xfId="0" applyNumberFormat="1" applyFont="1" applyFill="1" applyAlignment="1" applyProtection="1">
      <alignment horizontal="right"/>
      <protection hidden="1"/>
    </xf>
    <xf numFmtId="2" fontId="7" fillId="13" borderId="5" xfId="0" applyNumberFormat="1" applyFont="1" applyFill="1" applyBorder="1" applyAlignment="1" applyProtection="1">
      <alignment horizontal="right"/>
      <protection hidden="1"/>
    </xf>
    <xf numFmtId="2" fontId="7" fillId="13" borderId="0" xfId="0" applyNumberFormat="1" applyFont="1" applyFill="1" applyAlignment="1" applyProtection="1">
      <alignment horizontal="center"/>
      <protection hidden="1"/>
    </xf>
    <xf numFmtId="2" fontId="7" fillId="15" borderId="5" xfId="0" applyNumberFormat="1" applyFont="1" applyFill="1" applyBorder="1" applyProtection="1">
      <protection hidden="1"/>
    </xf>
    <xf numFmtId="165" fontId="7" fillId="13" borderId="0" xfId="0" applyNumberFormat="1" applyFont="1" applyFill="1" applyAlignment="1" applyProtection="1">
      <alignment horizontal="right"/>
      <protection hidden="1"/>
    </xf>
    <xf numFmtId="0" fontId="7" fillId="13" borderId="13" xfId="0" applyFont="1" applyFill="1" applyBorder="1" applyAlignment="1" applyProtection="1">
      <alignment horizontal="left"/>
      <protection hidden="1"/>
    </xf>
    <xf numFmtId="0" fontId="7" fillId="13" borderId="9" xfId="0" applyFont="1" applyFill="1" applyBorder="1" applyAlignment="1" applyProtection="1">
      <alignment horizontal="left"/>
      <protection hidden="1"/>
    </xf>
    <xf numFmtId="2" fontId="7" fillId="15" borderId="0" xfId="0" applyNumberFormat="1" applyFont="1" applyFill="1" applyAlignment="1" applyProtection="1">
      <alignment horizontal="right"/>
      <protection hidden="1"/>
    </xf>
    <xf numFmtId="2" fontId="7" fillId="15" borderId="5" xfId="0" applyNumberFormat="1" applyFont="1" applyFill="1" applyBorder="1" applyAlignment="1" applyProtection="1">
      <alignment horizontal="right"/>
      <protection hidden="1"/>
    </xf>
    <xf numFmtId="2" fontId="7" fillId="15" borderId="0" xfId="0" applyNumberFormat="1" applyFont="1" applyFill="1" applyAlignment="1" applyProtection="1">
      <alignment horizontal="center"/>
      <protection hidden="1"/>
    </xf>
    <xf numFmtId="0" fontId="0" fillId="16" borderId="33" xfId="0" applyFill="1" applyBorder="1" applyAlignment="1" applyProtection="1">
      <alignment horizontal="left"/>
      <protection hidden="1"/>
    </xf>
    <xf numFmtId="0" fontId="0" fillId="16" borderId="35" xfId="0" applyFill="1" applyBorder="1" applyAlignment="1" applyProtection="1">
      <alignment horizontal="left"/>
      <protection hidden="1"/>
    </xf>
    <xf numFmtId="0" fontId="24" fillId="16" borderId="34" xfId="0" applyFont="1" applyFill="1" applyBorder="1" applyAlignment="1" applyProtection="1">
      <alignment horizontal="left"/>
      <protection hidden="1"/>
    </xf>
    <xf numFmtId="0" fontId="24" fillId="16" borderId="34" xfId="0" applyFont="1" applyFill="1" applyBorder="1" applyProtection="1">
      <protection hidden="1"/>
    </xf>
    <xf numFmtId="0" fontId="1" fillId="0" borderId="0" xfId="0" applyFont="1"/>
    <xf numFmtId="0" fontId="21" fillId="14" borderId="4" xfId="0" applyFont="1" applyFill="1" applyBorder="1" applyProtection="1">
      <protection hidden="1"/>
    </xf>
    <xf numFmtId="0" fontId="21" fillId="14" borderId="5" xfId="0" applyFont="1" applyFill="1" applyBorder="1" applyProtection="1">
      <protection hidden="1"/>
    </xf>
    <xf numFmtId="0" fontId="21" fillId="14" borderId="1" xfId="0" applyFont="1" applyFill="1" applyBorder="1" applyProtection="1">
      <protection hidden="1"/>
    </xf>
    <xf numFmtId="0" fontId="21" fillId="14" borderId="3" xfId="0" applyFont="1" applyFill="1" applyBorder="1" applyProtection="1">
      <protection hidden="1"/>
    </xf>
    <xf numFmtId="0" fontId="19" fillId="17" borderId="0" xfId="0" applyFont="1" applyFill="1" applyAlignment="1" applyProtection="1">
      <alignment horizontal="center"/>
      <protection hidden="1"/>
    </xf>
    <xf numFmtId="0" fontId="19" fillId="17" borderId="0" xfId="0" applyFont="1" applyFill="1" applyProtection="1">
      <protection hidden="1"/>
    </xf>
    <xf numFmtId="0" fontId="19" fillId="15" borderId="0" xfId="0" applyFont="1" applyFill="1" applyAlignment="1" applyProtection="1">
      <alignment horizontal="center"/>
      <protection hidden="1"/>
    </xf>
    <xf numFmtId="0" fontId="19" fillId="15" borderId="0" xfId="0" applyFont="1" applyFill="1" applyProtection="1">
      <protection hidden="1"/>
    </xf>
    <xf numFmtId="0" fontId="6" fillId="15" borderId="0" xfId="0" applyFont="1" applyFill="1" applyAlignment="1" applyProtection="1">
      <alignment horizontal="center"/>
      <protection hidden="1"/>
    </xf>
    <xf numFmtId="0" fontId="6" fillId="17" borderId="0" xfId="0" applyFont="1" applyFill="1" applyProtection="1">
      <protection hidden="1"/>
    </xf>
    <xf numFmtId="0" fontId="6" fillId="15" borderId="0" xfId="0" applyFont="1" applyFill="1" applyProtection="1">
      <protection hidden="1"/>
    </xf>
    <xf numFmtId="0" fontId="7" fillId="17" borderId="0" xfId="0" applyFont="1" applyFill="1" applyAlignment="1" applyProtection="1">
      <alignment horizontal="center"/>
      <protection hidden="1"/>
    </xf>
    <xf numFmtId="0" fontId="15" fillId="17" borderId="0" xfId="0" applyFont="1" applyFill="1" applyProtection="1">
      <protection hidden="1"/>
    </xf>
    <xf numFmtId="0" fontId="7" fillId="17" borderId="0" xfId="0" applyFont="1" applyFill="1" applyProtection="1">
      <protection hidden="1"/>
    </xf>
    <xf numFmtId="0" fontId="7" fillId="15" borderId="0" xfId="0" applyFont="1" applyFill="1" applyProtection="1">
      <protection hidden="1"/>
    </xf>
    <xf numFmtId="0" fontId="15" fillId="15" borderId="0" xfId="0" applyFont="1" applyFill="1" applyProtection="1">
      <protection hidden="1"/>
    </xf>
    <xf numFmtId="0" fontId="7" fillId="14" borderId="7" xfId="0" applyFont="1" applyFill="1" applyBorder="1" applyProtection="1">
      <protection hidden="1"/>
    </xf>
    <xf numFmtId="0" fontId="4" fillId="14" borderId="7" xfId="0" applyFont="1" applyFill="1" applyBorder="1" applyProtection="1">
      <protection hidden="1"/>
    </xf>
    <xf numFmtId="0" fontId="13" fillId="0" borderId="0" xfId="0" applyFont="1" applyProtection="1">
      <protection hidden="1"/>
    </xf>
    <xf numFmtId="0" fontId="0" fillId="14" borderId="1" xfId="0" applyFill="1" applyBorder="1" applyProtection="1">
      <protection hidden="1"/>
    </xf>
    <xf numFmtId="0" fontId="0" fillId="14" borderId="3" xfId="0" applyFill="1" applyBorder="1" applyProtection="1">
      <protection hidden="1"/>
    </xf>
    <xf numFmtId="0" fontId="0" fillId="14" borderId="4" xfId="0" applyFill="1" applyBorder="1" applyProtection="1">
      <protection hidden="1"/>
    </xf>
    <xf numFmtId="0" fontId="0" fillId="14" borderId="5" xfId="0" applyFill="1" applyBorder="1" applyProtection="1">
      <protection hidden="1"/>
    </xf>
    <xf numFmtId="0" fontId="0" fillId="14" borderId="6" xfId="0" applyFill="1" applyBorder="1" applyProtection="1">
      <protection hidden="1"/>
    </xf>
    <xf numFmtId="0" fontId="24" fillId="14" borderId="7" xfId="0" applyFont="1" applyFill="1" applyBorder="1" applyProtection="1">
      <protection hidden="1"/>
    </xf>
    <xf numFmtId="0" fontId="0" fillId="14" borderId="8" xfId="0" applyFill="1" applyBorder="1" applyProtection="1">
      <protection hidden="1"/>
    </xf>
    <xf numFmtId="0" fontId="0" fillId="15" borderId="0" xfId="0" applyFill="1" applyProtection="1">
      <protection hidden="1"/>
    </xf>
    <xf numFmtId="0" fontId="7" fillId="15" borderId="32" xfId="0" applyFont="1" applyFill="1" applyBorder="1" applyAlignment="1" applyProtection="1">
      <alignment horizontal="center"/>
      <protection hidden="1"/>
    </xf>
    <xf numFmtId="0" fontId="15" fillId="15" borderId="0" xfId="0" applyFont="1" applyFill="1" applyAlignment="1" applyProtection="1">
      <alignment horizontal="left"/>
      <protection hidden="1"/>
    </xf>
    <xf numFmtId="0" fontId="7" fillId="15" borderId="6" xfId="0" applyFont="1" applyFill="1" applyBorder="1" applyAlignment="1" applyProtection="1">
      <alignment horizontal="left"/>
      <protection hidden="1"/>
    </xf>
    <xf numFmtId="2" fontId="7" fillId="15" borderId="8" xfId="0" applyNumberFormat="1" applyFont="1" applyFill="1" applyBorder="1" applyAlignment="1" applyProtection="1">
      <alignment horizontal="right"/>
      <protection hidden="1"/>
    </xf>
    <xf numFmtId="0" fontId="7" fillId="15" borderId="13" xfId="0" applyFont="1" applyFill="1" applyBorder="1" applyAlignment="1" applyProtection="1">
      <alignment horizontal="left"/>
      <protection hidden="1"/>
    </xf>
    <xf numFmtId="2" fontId="7" fillId="15" borderId="14" xfId="0" applyNumberFormat="1" applyFont="1" applyFill="1" applyBorder="1" applyProtection="1">
      <protection hidden="1"/>
    </xf>
    <xf numFmtId="0" fontId="7" fillId="13" borderId="36" xfId="0" applyFont="1" applyFill="1" applyBorder="1" applyProtection="1">
      <protection locked="0" hidden="1"/>
    </xf>
    <xf numFmtId="0" fontId="7" fillId="15" borderId="36" xfId="0" applyFont="1" applyFill="1" applyBorder="1" applyProtection="1">
      <protection locked="0" hidden="1"/>
    </xf>
    <xf numFmtId="0" fontId="7" fillId="13" borderId="36" xfId="0" applyFont="1" applyFill="1" applyBorder="1" applyAlignment="1" applyProtection="1">
      <alignment horizontal="center"/>
      <protection locked="0" hidden="1"/>
    </xf>
    <xf numFmtId="0" fontId="7" fillId="15" borderId="36" xfId="0" applyFont="1" applyFill="1" applyBorder="1" applyAlignment="1" applyProtection="1">
      <alignment horizontal="center"/>
      <protection locked="0" hidden="1"/>
    </xf>
    <xf numFmtId="2" fontId="7" fillId="15" borderId="36" xfId="0" applyNumberFormat="1" applyFont="1" applyFill="1" applyBorder="1" applyProtection="1">
      <protection locked="0" hidden="1"/>
    </xf>
    <xf numFmtId="2" fontId="7" fillId="13" borderId="36" xfId="0" applyNumberFormat="1" applyFont="1" applyFill="1" applyBorder="1" applyProtection="1">
      <protection locked="0" hidden="1"/>
    </xf>
    <xf numFmtId="0" fontId="7" fillId="15" borderId="20" xfId="0" applyFont="1" applyFill="1" applyBorder="1" applyAlignment="1" applyProtection="1">
      <alignment horizontal="left"/>
      <protection hidden="1"/>
    </xf>
    <xf numFmtId="0" fontId="7" fillId="15" borderId="28" xfId="0" applyFont="1" applyFill="1" applyBorder="1" applyAlignment="1" applyProtection="1">
      <alignment horizontal="center"/>
      <protection hidden="1"/>
    </xf>
    <xf numFmtId="0" fontId="7" fillId="13" borderId="9" xfId="0" applyFont="1" applyFill="1" applyBorder="1" applyAlignment="1" applyProtection="1">
      <alignment horizontal="center"/>
      <protection hidden="1"/>
    </xf>
    <xf numFmtId="0" fontId="7" fillId="13" borderId="37" xfId="0" applyFont="1" applyFill="1" applyBorder="1" applyAlignment="1" applyProtection="1">
      <alignment horizontal="center"/>
      <protection hidden="1"/>
    </xf>
    <xf numFmtId="0" fontId="7" fillId="15" borderId="38" xfId="0" applyFont="1" applyFill="1" applyBorder="1" applyAlignment="1" applyProtection="1">
      <alignment horizontal="center"/>
      <protection hidden="1"/>
    </xf>
    <xf numFmtId="2" fontId="7" fillId="13" borderId="14" xfId="0" applyNumberFormat="1" applyFont="1" applyFill="1" applyBorder="1" applyProtection="1">
      <protection hidden="1"/>
    </xf>
    <xf numFmtId="0" fontId="19" fillId="17" borderId="36" xfId="0" applyFont="1" applyFill="1" applyBorder="1" applyAlignment="1" applyProtection="1">
      <alignment horizontal="center"/>
      <protection locked="0" hidden="1"/>
    </xf>
    <xf numFmtId="0" fontId="19" fillId="15" borderId="36" xfId="0" applyFont="1" applyFill="1" applyBorder="1" applyAlignment="1" applyProtection="1">
      <alignment horizontal="center"/>
      <protection locked="0" hidden="1"/>
    </xf>
    <xf numFmtId="1" fontId="7" fillId="15" borderId="36" xfId="0" applyNumberFormat="1" applyFont="1" applyFill="1" applyBorder="1" applyAlignment="1" applyProtection="1">
      <alignment horizontal="center"/>
      <protection locked="0" hidden="1"/>
    </xf>
    <xf numFmtId="1" fontId="7" fillId="13" borderId="36" xfId="0" applyNumberFormat="1" applyFont="1" applyFill="1" applyBorder="1" applyAlignment="1" applyProtection="1">
      <alignment horizontal="center"/>
      <protection locked="0" hidden="1"/>
    </xf>
    <xf numFmtId="0" fontId="26" fillId="14" borderId="5" xfId="0" applyFont="1" applyFill="1" applyBorder="1" applyAlignment="1" applyProtection="1">
      <alignment horizontal="center"/>
      <protection hidden="1"/>
    </xf>
    <xf numFmtId="0" fontId="27" fillId="13" borderId="0" xfId="0" applyFont="1" applyFill="1" applyAlignment="1" applyProtection="1">
      <alignment horizontal="center"/>
      <protection hidden="1"/>
    </xf>
    <xf numFmtId="0" fontId="28" fillId="0" borderId="0" xfId="0" applyFont="1" applyAlignment="1" applyProtection="1">
      <alignment horizontal="left"/>
      <protection hidden="1"/>
    </xf>
    <xf numFmtId="0" fontId="29" fillId="0" borderId="0" xfId="0" applyFont="1" applyAlignment="1" applyProtection="1">
      <alignment horizontal="left"/>
      <protection hidden="1"/>
    </xf>
    <xf numFmtId="0" fontId="28" fillId="0" borderId="0" xfId="0" applyFont="1" applyAlignment="1" applyProtection="1">
      <alignment horizontal="center"/>
      <protection hidden="1"/>
    </xf>
    <xf numFmtId="0" fontId="29" fillId="0" borderId="0" xfId="0" applyFont="1"/>
    <xf numFmtId="0" fontId="29" fillId="0" borderId="0" xfId="0" applyFont="1" applyAlignment="1" applyProtection="1">
      <alignment horizontal="center"/>
      <protection hidden="1"/>
    </xf>
    <xf numFmtId="0" fontId="4" fillId="15" borderId="0" xfId="0" applyFont="1" applyFill="1" applyAlignment="1" applyProtection="1">
      <alignment horizontal="center"/>
      <protection hidden="1"/>
    </xf>
    <xf numFmtId="0" fontId="11" fillId="15" borderId="0" xfId="0" applyFont="1" applyFill="1" applyProtection="1">
      <protection hidden="1"/>
    </xf>
    <xf numFmtId="0" fontId="9" fillId="15" borderId="0" xfId="0" applyFont="1" applyFill="1" applyAlignment="1" applyProtection="1">
      <alignment horizontal="left"/>
      <protection hidden="1"/>
    </xf>
    <xf numFmtId="0" fontId="8" fillId="15" borderId="0" xfId="0" applyFont="1" applyFill="1" applyProtection="1">
      <protection hidden="1"/>
    </xf>
    <xf numFmtId="0" fontId="10" fillId="15" borderId="0" xfId="0" applyFont="1" applyFill="1" applyProtection="1">
      <protection hidden="1"/>
    </xf>
    <xf numFmtId="0" fontId="4" fillId="15" borderId="0" xfId="0" applyFont="1" applyFill="1" applyProtection="1">
      <protection hidden="1"/>
    </xf>
    <xf numFmtId="0" fontId="4" fillId="15" borderId="29" xfId="0" applyFont="1" applyFill="1" applyBorder="1" applyAlignment="1" applyProtection="1">
      <alignment horizontal="center"/>
      <protection hidden="1"/>
    </xf>
    <xf numFmtId="2" fontId="4" fillId="15" borderId="29" xfId="0" applyNumberFormat="1" applyFont="1" applyFill="1" applyBorder="1" applyProtection="1">
      <protection hidden="1"/>
    </xf>
    <xf numFmtId="0" fontId="4" fillId="15" borderId="29" xfId="0" applyFont="1" applyFill="1" applyBorder="1" applyProtection="1">
      <protection hidden="1"/>
    </xf>
    <xf numFmtId="0" fontId="9" fillId="17" borderId="0" xfId="0" applyFont="1" applyFill="1" applyProtection="1">
      <protection hidden="1"/>
    </xf>
    <xf numFmtId="0" fontId="4" fillId="17" borderId="0" xfId="0" applyFont="1" applyFill="1" applyProtection="1">
      <protection hidden="1"/>
    </xf>
    <xf numFmtId="0" fontId="11" fillId="17" borderId="0" xfId="0" applyFont="1" applyFill="1" applyProtection="1">
      <protection hidden="1"/>
    </xf>
    <xf numFmtId="0" fontId="9" fillId="17" borderId="0" xfId="0" applyFont="1" applyFill="1" applyAlignment="1" applyProtection="1">
      <alignment horizontal="left"/>
      <protection hidden="1"/>
    </xf>
    <xf numFmtId="0" fontId="18" fillId="17" borderId="0" xfId="0" applyFont="1" applyFill="1" applyProtection="1">
      <protection hidden="1"/>
    </xf>
    <xf numFmtId="2" fontId="9" fillId="17" borderId="0" xfId="0" applyNumberFormat="1" applyFont="1" applyFill="1" applyAlignment="1" applyProtection="1">
      <alignment horizontal="left"/>
      <protection hidden="1"/>
    </xf>
    <xf numFmtId="0" fontId="7" fillId="17" borderId="28" xfId="0" applyFont="1" applyFill="1" applyBorder="1" applyAlignment="1" applyProtection="1">
      <alignment horizontal="center"/>
      <protection hidden="1"/>
    </xf>
    <xf numFmtId="0" fontId="4" fillId="17" borderId="29" xfId="0" applyFont="1" applyFill="1" applyBorder="1" applyAlignment="1" applyProtection="1">
      <alignment horizontal="center"/>
      <protection hidden="1"/>
    </xf>
    <xf numFmtId="2" fontId="4" fillId="17" borderId="29" xfId="0" applyNumberFormat="1" applyFont="1" applyFill="1" applyBorder="1" applyProtection="1">
      <protection hidden="1"/>
    </xf>
    <xf numFmtId="0" fontId="4" fillId="17" borderId="29" xfId="0" applyFont="1" applyFill="1" applyBorder="1" applyProtection="1">
      <protection hidden="1"/>
    </xf>
    <xf numFmtId="1" fontId="9" fillId="17" borderId="0" xfId="0" applyNumberFormat="1" applyFont="1" applyFill="1" applyProtection="1">
      <protection hidden="1"/>
    </xf>
    <xf numFmtId="0" fontId="0" fillId="14" borderId="2" xfId="0" applyFill="1" applyBorder="1" applyProtection="1">
      <protection hidden="1"/>
    </xf>
    <xf numFmtId="0" fontId="7" fillId="17" borderId="27" xfId="0" applyFont="1" applyFill="1" applyBorder="1" applyAlignment="1" applyProtection="1">
      <alignment horizontal="center"/>
      <protection hidden="1"/>
    </xf>
    <xf numFmtId="0" fontId="7" fillId="17" borderId="16" xfId="0" applyFont="1" applyFill="1" applyBorder="1" applyAlignment="1" applyProtection="1">
      <alignment horizontal="center"/>
      <protection hidden="1"/>
    </xf>
    <xf numFmtId="0" fontId="7" fillId="17" borderId="17" xfId="0" applyFont="1" applyFill="1" applyBorder="1" applyAlignment="1" applyProtection="1">
      <alignment horizontal="center"/>
      <protection hidden="1"/>
    </xf>
    <xf numFmtId="0" fontId="7" fillId="17" borderId="9" xfId="0" applyFont="1" applyFill="1" applyBorder="1" applyAlignment="1" applyProtection="1">
      <alignment horizontal="center"/>
      <protection hidden="1"/>
    </xf>
    <xf numFmtId="0" fontId="7" fillId="17" borderId="20" xfId="0" applyFont="1" applyFill="1" applyBorder="1" applyAlignment="1" applyProtection="1">
      <alignment horizontal="center"/>
      <protection hidden="1"/>
    </xf>
    <xf numFmtId="0" fontId="30" fillId="17" borderId="15" xfId="0" applyFont="1" applyFill="1" applyBorder="1" applyAlignment="1" applyProtection="1">
      <alignment horizontal="right"/>
      <protection hidden="1"/>
    </xf>
    <xf numFmtId="0" fontId="9" fillId="17" borderId="16" xfId="0" applyFont="1" applyFill="1" applyBorder="1" applyProtection="1">
      <protection hidden="1"/>
    </xf>
    <xf numFmtId="0" fontId="9" fillId="17" borderId="16" xfId="0" applyFont="1" applyFill="1" applyBorder="1" applyAlignment="1" applyProtection="1">
      <alignment horizontal="left"/>
      <protection hidden="1"/>
    </xf>
    <xf numFmtId="0" fontId="9" fillId="17" borderId="16" xfId="0" applyFont="1" applyFill="1" applyBorder="1" applyAlignment="1" applyProtection="1">
      <alignment horizontal="center"/>
      <protection hidden="1"/>
    </xf>
    <xf numFmtId="0" fontId="4" fillId="17" borderId="16" xfId="0" applyFont="1" applyFill="1" applyBorder="1" applyProtection="1">
      <protection hidden="1"/>
    </xf>
    <xf numFmtId="0" fontId="4" fillId="17" borderId="17" xfId="0" applyFont="1" applyFill="1" applyBorder="1" applyProtection="1">
      <protection hidden="1"/>
    </xf>
    <xf numFmtId="0" fontId="4" fillId="17" borderId="21" xfId="0" applyFont="1" applyFill="1" applyBorder="1" applyProtection="1">
      <protection hidden="1"/>
    </xf>
    <xf numFmtId="0" fontId="9" fillId="17" borderId="9" xfId="0" applyFont="1" applyFill="1" applyBorder="1" applyProtection="1">
      <protection hidden="1"/>
    </xf>
    <xf numFmtId="0" fontId="4" fillId="17" borderId="9" xfId="0" applyFont="1" applyFill="1" applyBorder="1" applyProtection="1">
      <protection hidden="1"/>
    </xf>
    <xf numFmtId="0" fontId="4" fillId="17" borderId="20" xfId="0" applyFont="1" applyFill="1" applyBorder="1" applyProtection="1">
      <protection hidden="1"/>
    </xf>
    <xf numFmtId="0" fontId="9" fillId="17" borderId="36" xfId="0" applyFont="1" applyFill="1" applyBorder="1" applyProtection="1">
      <protection locked="0" hidden="1"/>
    </xf>
    <xf numFmtId="0" fontId="17" fillId="15" borderId="0" xfId="0" applyFont="1" applyFill="1" applyAlignment="1" applyProtection="1">
      <alignment horizontal="left"/>
      <protection hidden="1"/>
    </xf>
    <xf numFmtId="0" fontId="7" fillId="13" borderId="0" xfId="0" applyFont="1" applyFill="1" applyAlignment="1" applyProtection="1">
      <alignment horizontal="left" vertical="center"/>
      <protection hidden="1"/>
    </xf>
    <xf numFmtId="2" fontId="7" fillId="13" borderId="0" xfId="0" applyNumberFormat="1" applyFont="1" applyFill="1" applyAlignment="1" applyProtection="1">
      <alignment horizontal="right" vertical="center"/>
      <protection hidden="1"/>
    </xf>
    <xf numFmtId="0" fontId="15" fillId="13" borderId="0" xfId="0" applyFont="1" applyFill="1" applyAlignment="1" applyProtection="1">
      <alignment horizontal="right" vertical="center"/>
      <protection hidden="1"/>
    </xf>
    <xf numFmtId="0" fontId="21" fillId="14" borderId="6" xfId="0" applyFont="1" applyFill="1" applyBorder="1" applyProtection="1">
      <protection hidden="1"/>
    </xf>
    <xf numFmtId="0" fontId="22" fillId="14" borderId="7" xfId="0" applyFont="1" applyFill="1" applyBorder="1" applyProtection="1">
      <protection hidden="1"/>
    </xf>
    <xf numFmtId="0" fontId="21" fillId="14" borderId="7" xfId="0" applyFont="1" applyFill="1" applyBorder="1" applyProtection="1">
      <protection hidden="1"/>
    </xf>
    <xf numFmtId="0" fontId="21" fillId="14" borderId="8" xfId="0" applyFont="1" applyFill="1" applyBorder="1" applyProtection="1">
      <protection hidden="1"/>
    </xf>
    <xf numFmtId="0" fontId="0" fillId="0" borderId="29" xfId="0" applyBorder="1" applyAlignment="1" applyProtection="1">
      <alignment horizontal="left"/>
      <protection hidden="1"/>
    </xf>
    <xf numFmtId="2" fontId="0" fillId="16" borderId="29" xfId="0" applyNumberFormat="1" applyFill="1" applyBorder="1" applyAlignment="1" applyProtection="1">
      <alignment horizontal="left"/>
      <protection hidden="1"/>
    </xf>
    <xf numFmtId="0" fontId="3" fillId="0" borderId="7" xfId="0" applyFont="1" applyBorder="1" applyAlignment="1" applyProtection="1">
      <alignment horizontal="left"/>
      <protection hidden="1"/>
    </xf>
    <xf numFmtId="2" fontId="3" fillId="0" borderId="7" xfId="0" applyNumberFormat="1" applyFont="1" applyBorder="1" applyProtection="1">
      <protection hidden="1"/>
    </xf>
    <xf numFmtId="0" fontId="1" fillId="0" borderId="0" xfId="0" applyFont="1" applyAlignment="1" applyProtection="1">
      <alignment horizontal="left"/>
      <protection hidden="1"/>
    </xf>
    <xf numFmtId="0" fontId="0" fillId="0" borderId="45" xfId="0" applyBorder="1" applyAlignment="1" applyProtection="1">
      <alignment horizontal="left"/>
      <protection hidden="1"/>
    </xf>
    <xf numFmtId="0" fontId="0" fillId="0" borderId="24" xfId="0" applyBorder="1" applyAlignment="1" applyProtection="1">
      <alignment horizontal="left"/>
      <protection hidden="1"/>
    </xf>
    <xf numFmtId="0" fontId="0" fillId="0" borderId="46" xfId="0" applyBorder="1" applyAlignment="1" applyProtection="1">
      <alignment horizontal="left"/>
      <protection hidden="1"/>
    </xf>
    <xf numFmtId="0" fontId="3" fillId="0" borderId="29" xfId="0" applyFont="1" applyBorder="1" applyAlignment="1" applyProtection="1">
      <alignment horizontal="left"/>
      <protection hidden="1"/>
    </xf>
    <xf numFmtId="0" fontId="3" fillId="0" borderId="29" xfId="0" applyFont="1" applyBorder="1" applyProtection="1">
      <protection hidden="1"/>
    </xf>
    <xf numFmtId="0" fontId="0" fillId="0" borderId="29" xfId="0" applyBorder="1" applyProtection="1">
      <protection hidden="1"/>
    </xf>
    <xf numFmtId="0" fontId="0" fillId="0" borderId="47" xfId="0" applyBorder="1" applyAlignment="1" applyProtection="1">
      <alignment horizontal="left"/>
      <protection hidden="1"/>
    </xf>
    <xf numFmtId="0" fontId="3" fillId="0" borderId="48" xfId="0" applyFont="1" applyBorder="1" applyProtection="1">
      <protection hidden="1"/>
    </xf>
    <xf numFmtId="0" fontId="0" fillId="0" borderId="48" xfId="0" applyBorder="1" applyAlignment="1" applyProtection="1">
      <alignment horizontal="left"/>
      <protection hidden="1"/>
    </xf>
    <xf numFmtId="0" fontId="0" fillId="0" borderId="49" xfId="0" applyBorder="1" applyAlignment="1" applyProtection="1">
      <alignment horizontal="left"/>
      <protection hidden="1"/>
    </xf>
    <xf numFmtId="0" fontId="1" fillId="14" borderId="1" xfId="0" applyFont="1" applyFill="1" applyBorder="1" applyProtection="1">
      <protection hidden="1"/>
    </xf>
    <xf numFmtId="0" fontId="1" fillId="14" borderId="3" xfId="0" applyFont="1" applyFill="1" applyBorder="1" applyProtection="1">
      <protection hidden="1"/>
    </xf>
    <xf numFmtId="0" fontId="1" fillId="14" borderId="6" xfId="0" applyFont="1" applyFill="1" applyBorder="1" applyProtection="1">
      <protection hidden="1"/>
    </xf>
    <xf numFmtId="0" fontId="1" fillId="14" borderId="7" xfId="0" applyFont="1" applyFill="1" applyBorder="1" applyProtection="1">
      <protection hidden="1"/>
    </xf>
    <xf numFmtId="0" fontId="1" fillId="14" borderId="8" xfId="0" applyFont="1" applyFill="1" applyBorder="1" applyProtection="1">
      <protection hidden="1"/>
    </xf>
    <xf numFmtId="0" fontId="1" fillId="14" borderId="4" xfId="0" applyFont="1" applyFill="1" applyBorder="1" applyProtection="1">
      <protection hidden="1"/>
    </xf>
    <xf numFmtId="0" fontId="1" fillId="14" borderId="5" xfId="0" applyFont="1" applyFill="1" applyBorder="1" applyProtection="1">
      <protection hidden="1"/>
    </xf>
    <xf numFmtId="0" fontId="3" fillId="15" borderId="0" xfId="0" applyFont="1" applyFill="1" applyProtection="1">
      <protection hidden="1"/>
    </xf>
    <xf numFmtId="0" fontId="1" fillId="15" borderId="0" xfId="0" applyFont="1" applyFill="1" applyProtection="1">
      <protection hidden="1"/>
    </xf>
    <xf numFmtId="0" fontId="3" fillId="17" borderId="0" xfId="0" applyFont="1" applyFill="1" applyProtection="1">
      <protection hidden="1"/>
    </xf>
    <xf numFmtId="0" fontId="1" fillId="17" borderId="0" xfId="0" applyFont="1" applyFill="1" applyProtection="1">
      <protection hidden="1"/>
    </xf>
    <xf numFmtId="166" fontId="7" fillId="15" borderId="0" xfId="1" applyNumberFormat="1" applyFont="1" applyFill="1" applyBorder="1" applyAlignment="1" applyProtection="1">
      <alignment horizontal="right"/>
      <protection hidden="1"/>
    </xf>
    <xf numFmtId="166" fontId="7" fillId="0" borderId="0" xfId="1" applyNumberFormat="1" applyFont="1" applyFill="1" applyBorder="1" applyAlignment="1" applyProtection="1">
      <alignment horizontal="right"/>
      <protection hidden="1"/>
    </xf>
    <xf numFmtId="0" fontId="1" fillId="0" borderId="0" xfId="0" applyFont="1" applyProtection="1">
      <protection hidden="1"/>
    </xf>
    <xf numFmtId="0" fontId="9" fillId="15" borderId="0" xfId="0" applyFont="1" applyFill="1" applyProtection="1">
      <protection hidden="1"/>
    </xf>
    <xf numFmtId="0" fontId="5" fillId="15" borderId="0" xfId="0" applyFont="1" applyFill="1" applyAlignment="1" applyProtection="1">
      <alignment horizontal="center"/>
      <protection hidden="1"/>
    </xf>
    <xf numFmtId="0" fontId="0" fillId="17" borderId="0" xfId="0" applyFill="1" applyProtection="1">
      <protection hidden="1"/>
    </xf>
    <xf numFmtId="0" fontId="22" fillId="17" borderId="0" xfId="0" applyFont="1" applyFill="1" applyAlignment="1" applyProtection="1">
      <alignment horizontal="center"/>
      <protection hidden="1"/>
    </xf>
    <xf numFmtId="1" fontId="22" fillId="15" borderId="0" xfId="0" applyNumberFormat="1" applyFont="1" applyFill="1" applyProtection="1">
      <protection hidden="1"/>
    </xf>
    <xf numFmtId="167" fontId="22" fillId="15" borderId="0" xfId="1" applyNumberFormat="1" applyFont="1" applyFill="1" applyProtection="1">
      <protection hidden="1"/>
    </xf>
    <xf numFmtId="1" fontId="22" fillId="17" borderId="0" xfId="0" applyNumberFormat="1" applyFont="1" applyFill="1" applyProtection="1">
      <protection hidden="1"/>
    </xf>
    <xf numFmtId="167" fontId="22" fillId="17" borderId="0" xfId="1" applyNumberFormat="1" applyFont="1" applyFill="1" applyProtection="1">
      <protection hidden="1"/>
    </xf>
    <xf numFmtId="167" fontId="22" fillId="15" borderId="0" xfId="0" applyNumberFormat="1" applyFont="1" applyFill="1" applyProtection="1">
      <protection hidden="1"/>
    </xf>
    <xf numFmtId="0" fontId="0" fillId="17" borderId="9" xfId="0" applyFill="1" applyBorder="1" applyProtection="1">
      <protection hidden="1"/>
    </xf>
    <xf numFmtId="167" fontId="22" fillId="17" borderId="0" xfId="0" applyNumberFormat="1" applyFont="1" applyFill="1" applyProtection="1">
      <protection hidden="1"/>
    </xf>
    <xf numFmtId="0" fontId="22" fillId="15" borderId="0" xfId="1" applyNumberFormat="1" applyFont="1" applyFill="1" applyAlignment="1" applyProtection="1">
      <alignment horizontal="center"/>
      <protection hidden="1"/>
    </xf>
    <xf numFmtId="0" fontId="31" fillId="17" borderId="0" xfId="0" applyFont="1" applyFill="1" applyProtection="1">
      <protection hidden="1"/>
    </xf>
    <xf numFmtId="0" fontId="32" fillId="17" borderId="0" xfId="0" applyFont="1" applyFill="1" applyProtection="1">
      <protection hidden="1"/>
    </xf>
    <xf numFmtId="0" fontId="22" fillId="15" borderId="0" xfId="0" applyFont="1" applyFill="1" applyProtection="1">
      <protection hidden="1"/>
    </xf>
    <xf numFmtId="0" fontId="0" fillId="0" borderId="15" xfId="0" applyBorder="1"/>
    <xf numFmtId="0" fontId="0" fillId="0" borderId="20" xfId="0" applyBorder="1"/>
    <xf numFmtId="0" fontId="0" fillId="0" borderId="15" xfId="0" applyBorder="1" applyAlignment="1" applyProtection="1">
      <alignment horizontal="left"/>
      <protection hidden="1"/>
    </xf>
    <xf numFmtId="0" fontId="0" fillId="0" borderId="18" xfId="0" applyBorder="1" applyAlignment="1" applyProtection="1">
      <alignment horizontal="left"/>
      <protection hidden="1"/>
    </xf>
    <xf numFmtId="2" fontId="0" fillId="0" borderId="19" xfId="0" applyNumberFormat="1" applyBorder="1" applyAlignment="1" applyProtection="1">
      <alignment horizontal="left"/>
      <protection hidden="1"/>
    </xf>
    <xf numFmtId="0" fontId="0" fillId="0" borderId="21" xfId="0" applyBorder="1" applyAlignment="1" applyProtection="1">
      <alignment horizontal="left"/>
      <protection hidden="1"/>
    </xf>
    <xf numFmtId="0" fontId="7" fillId="13" borderId="30" xfId="0" applyFont="1" applyFill="1" applyBorder="1" applyAlignment="1" applyProtection="1">
      <alignment horizontal="center"/>
      <protection hidden="1"/>
    </xf>
    <xf numFmtId="0" fontId="7" fillId="13" borderId="31" xfId="0" applyFont="1" applyFill="1" applyBorder="1" applyAlignment="1" applyProtection="1">
      <alignment horizontal="center"/>
      <protection hidden="1"/>
    </xf>
    <xf numFmtId="0" fontId="9" fillId="15" borderId="0" xfId="0" applyFont="1" applyFill="1" applyAlignment="1" applyProtection="1">
      <alignment horizontal="center"/>
      <protection hidden="1"/>
    </xf>
    <xf numFmtId="166" fontId="7" fillId="15" borderId="0" xfId="1" applyNumberFormat="1" applyFont="1" applyFill="1" applyBorder="1" applyAlignment="1" applyProtection="1">
      <alignment horizontal="right"/>
      <protection hidden="1"/>
    </xf>
    <xf numFmtId="0" fontId="6" fillId="14" borderId="1" xfId="0" applyFont="1" applyFill="1" applyBorder="1" applyAlignment="1" applyProtection="1">
      <alignment horizontal="center"/>
      <protection hidden="1"/>
    </xf>
    <xf numFmtId="0" fontId="6" fillId="14" borderId="2" xfId="0" applyFont="1" applyFill="1" applyBorder="1" applyAlignment="1" applyProtection="1">
      <alignment horizontal="center"/>
      <protection hidden="1"/>
    </xf>
    <xf numFmtId="0" fontId="6" fillId="14" borderId="3" xfId="0" applyFont="1" applyFill="1" applyBorder="1" applyAlignment="1" applyProtection="1">
      <alignment horizontal="center"/>
      <protection hidden="1"/>
    </xf>
    <xf numFmtId="0" fontId="0" fillId="12" borderId="1" xfId="0" applyFill="1" applyBorder="1" applyAlignment="1" applyProtection="1">
      <alignment horizontal="justify" vertical="center" wrapText="1"/>
      <protection hidden="1"/>
    </xf>
    <xf numFmtId="0" fontId="0" fillId="12" borderId="2" xfId="0" applyFill="1" applyBorder="1" applyAlignment="1" applyProtection="1">
      <alignment horizontal="justify" vertical="center" wrapText="1"/>
      <protection hidden="1"/>
    </xf>
    <xf numFmtId="0" fontId="0" fillId="12" borderId="3" xfId="0" applyFill="1" applyBorder="1" applyAlignment="1" applyProtection="1">
      <alignment horizontal="justify" vertical="center" wrapText="1"/>
      <protection hidden="1"/>
    </xf>
    <xf numFmtId="0" fontId="0" fillId="12" borderId="4" xfId="0" applyFill="1" applyBorder="1" applyAlignment="1" applyProtection="1">
      <alignment horizontal="justify" vertical="center" wrapText="1"/>
      <protection hidden="1"/>
    </xf>
    <xf numFmtId="0" fontId="0" fillId="12" borderId="0" xfId="0" applyFill="1" applyAlignment="1" applyProtection="1">
      <alignment horizontal="justify" vertical="center" wrapText="1"/>
      <protection hidden="1"/>
    </xf>
    <xf numFmtId="0" fontId="0" fillId="12" borderId="5" xfId="0" applyFill="1" applyBorder="1" applyAlignment="1" applyProtection="1">
      <alignment horizontal="justify" vertical="center" wrapText="1"/>
      <protection hidden="1"/>
    </xf>
    <xf numFmtId="0" fontId="0" fillId="12" borderId="6" xfId="0" applyFill="1" applyBorder="1" applyAlignment="1" applyProtection="1">
      <alignment horizontal="justify" vertical="center" wrapText="1"/>
      <protection hidden="1"/>
    </xf>
    <xf numFmtId="0" fontId="0" fillId="12" borderId="7" xfId="0" applyFill="1" applyBorder="1" applyAlignment="1" applyProtection="1">
      <alignment horizontal="justify" vertical="center" wrapText="1"/>
      <protection hidden="1"/>
    </xf>
    <xf numFmtId="0" fontId="0" fillId="12" borderId="8" xfId="0" applyFill="1" applyBorder="1" applyAlignment="1" applyProtection="1">
      <alignment horizontal="justify" vertical="center" wrapText="1"/>
      <protection hidden="1"/>
    </xf>
    <xf numFmtId="0" fontId="24" fillId="16" borderId="33" xfId="0" applyFont="1" applyFill="1" applyBorder="1" applyAlignment="1" applyProtection="1">
      <alignment horizontal="center"/>
      <protection hidden="1"/>
    </xf>
    <xf numFmtId="0" fontId="24" fillId="16" borderId="34" xfId="0" applyFont="1" applyFill="1" applyBorder="1" applyAlignment="1" applyProtection="1">
      <alignment horizontal="center"/>
      <protection hidden="1"/>
    </xf>
    <xf numFmtId="0" fontId="24" fillId="16" borderId="35" xfId="0" applyFont="1" applyFill="1" applyBorder="1" applyAlignment="1" applyProtection="1">
      <alignment horizontal="center"/>
      <protection hidden="1"/>
    </xf>
    <xf numFmtId="0" fontId="16" fillId="13" borderId="0" xfId="0" applyFont="1" applyFill="1" applyAlignment="1" applyProtection="1">
      <alignment horizontal="left" wrapText="1"/>
      <protection hidden="1"/>
    </xf>
    <xf numFmtId="0" fontId="7" fillId="10" borderId="0" xfId="0" applyFont="1" applyFill="1" applyAlignment="1" applyProtection="1">
      <alignment horizontal="left"/>
      <protection hidden="1"/>
    </xf>
    <xf numFmtId="0" fontId="23" fillId="9" borderId="0" xfId="0" applyFont="1" applyFill="1" applyAlignment="1" applyProtection="1">
      <alignment horizontal="center"/>
      <protection hidden="1"/>
    </xf>
    <xf numFmtId="0" fontId="7" fillId="9" borderId="6" xfId="0" applyFont="1" applyFill="1" applyBorder="1" applyAlignment="1" applyProtection="1">
      <alignment horizontal="center"/>
      <protection hidden="1"/>
    </xf>
    <xf numFmtId="0" fontId="7" fillId="9" borderId="7" xfId="0" applyFont="1" applyFill="1" applyBorder="1" applyAlignment="1" applyProtection="1">
      <alignment horizontal="center"/>
      <protection hidden="1"/>
    </xf>
    <xf numFmtId="0" fontId="7" fillId="9" borderId="8" xfId="0" applyFont="1" applyFill="1" applyBorder="1" applyAlignment="1" applyProtection="1">
      <alignment horizontal="center"/>
      <protection hidden="1"/>
    </xf>
    <xf numFmtId="0" fontId="19" fillId="14" borderId="2" xfId="0" applyFont="1" applyFill="1" applyBorder="1" applyAlignment="1" applyProtection="1">
      <alignment horizontal="center"/>
      <protection hidden="1"/>
    </xf>
    <xf numFmtId="0" fontId="6" fillId="14" borderId="2" xfId="0" applyFont="1" applyFill="1" applyBorder="1" applyAlignment="1">
      <alignment horizontal="center"/>
    </xf>
    <xf numFmtId="0" fontId="7" fillId="15" borderId="0" xfId="0" applyFont="1" applyFill="1" applyAlignment="1" applyProtection="1">
      <alignment horizontal="center"/>
      <protection hidden="1"/>
    </xf>
    <xf numFmtId="0" fontId="7" fillId="15" borderId="0" xfId="0" applyFont="1" applyFill="1" applyAlignment="1" applyProtection="1">
      <alignment horizontal="right"/>
      <protection hidden="1"/>
    </xf>
    <xf numFmtId="0" fontId="24" fillId="14" borderId="7" xfId="0" applyFont="1" applyFill="1" applyBorder="1" applyAlignment="1" applyProtection="1">
      <alignment horizontal="right"/>
      <protection hidden="1"/>
    </xf>
    <xf numFmtId="0" fontId="7" fillId="17" borderId="0" xfId="0" applyFont="1" applyFill="1" applyAlignment="1" applyProtection="1">
      <alignment horizontal="right"/>
      <protection hidden="1"/>
    </xf>
    <xf numFmtId="0" fontId="3" fillId="7" borderId="1" xfId="0" applyFont="1" applyFill="1" applyBorder="1" applyAlignment="1" applyProtection="1">
      <alignment horizontal="center"/>
      <protection hidden="1"/>
    </xf>
    <xf numFmtId="0" fontId="3" fillId="7" borderId="2" xfId="0" applyFont="1" applyFill="1" applyBorder="1" applyAlignment="1" applyProtection="1">
      <alignment horizontal="center"/>
      <protection hidden="1"/>
    </xf>
    <xf numFmtId="0" fontId="3" fillId="7" borderId="3" xfId="0" applyFont="1" applyFill="1" applyBorder="1" applyAlignment="1" applyProtection="1">
      <alignment horizontal="center"/>
      <protection hidden="1"/>
    </xf>
    <xf numFmtId="0" fontId="6" fillId="8" borderId="21" xfId="0" applyFont="1" applyFill="1" applyBorder="1" applyAlignment="1" applyProtection="1">
      <alignment horizontal="center"/>
      <protection hidden="1"/>
    </xf>
    <xf numFmtId="0" fontId="6" fillId="8" borderId="9" xfId="0" applyFont="1" applyFill="1" applyBorder="1" applyAlignment="1" applyProtection="1">
      <alignment horizontal="center"/>
      <protection hidden="1"/>
    </xf>
    <xf numFmtId="0" fontId="6" fillId="8" borderId="20" xfId="0" applyFont="1" applyFill="1" applyBorder="1" applyAlignment="1" applyProtection="1">
      <alignment horizontal="center"/>
      <protection hidden="1"/>
    </xf>
    <xf numFmtId="0" fontId="6" fillId="8" borderId="15" xfId="0" applyFont="1" applyFill="1" applyBorder="1" applyAlignment="1" applyProtection="1">
      <alignment horizontal="center"/>
      <protection locked="0" hidden="1"/>
    </xf>
    <xf numFmtId="0" fontId="6" fillId="8" borderId="16" xfId="0" applyFont="1" applyFill="1" applyBorder="1" applyAlignment="1" applyProtection="1">
      <alignment horizontal="center"/>
      <protection locked="0" hidden="1"/>
    </xf>
    <xf numFmtId="0" fontId="6" fillId="8" borderId="17" xfId="0" applyFont="1" applyFill="1" applyBorder="1" applyAlignment="1" applyProtection="1">
      <alignment horizontal="center"/>
      <protection locked="0" hidden="1"/>
    </xf>
    <xf numFmtId="0" fontId="6" fillId="8" borderId="18" xfId="0" applyFont="1" applyFill="1" applyBorder="1" applyAlignment="1" applyProtection="1">
      <alignment horizontal="center"/>
      <protection locked="0" hidden="1"/>
    </xf>
    <xf numFmtId="0" fontId="6" fillId="8" borderId="0" xfId="0" applyFont="1" applyFill="1" applyAlignment="1" applyProtection="1">
      <alignment horizontal="center"/>
      <protection locked="0" hidden="1"/>
    </xf>
    <xf numFmtId="0" fontId="6" fillId="8" borderId="19" xfId="0" applyFont="1" applyFill="1" applyBorder="1" applyAlignment="1" applyProtection="1">
      <alignment horizontal="center"/>
      <protection locked="0" hidden="1"/>
    </xf>
    <xf numFmtId="0" fontId="4" fillId="8" borderId="0" xfId="0" applyFont="1" applyFill="1" applyProtection="1">
      <protection hidden="1"/>
    </xf>
    <xf numFmtId="0" fontId="6" fillId="14" borderId="7" xfId="0" applyFont="1" applyFill="1" applyBorder="1" applyAlignment="1" applyProtection="1">
      <alignment horizontal="center"/>
      <protection hidden="1"/>
    </xf>
    <xf numFmtId="0" fontId="9" fillId="14" borderId="0" xfId="0" applyFont="1" applyFill="1" applyAlignment="1" applyProtection="1">
      <alignment horizontal="center"/>
      <protection hidden="1"/>
    </xf>
    <xf numFmtId="0" fontId="6" fillId="14" borderId="39" xfId="0" applyFont="1" applyFill="1" applyBorder="1" applyAlignment="1" applyProtection="1">
      <alignment horizontal="center"/>
      <protection locked="0" hidden="1"/>
    </xf>
    <xf numFmtId="0" fontId="6" fillId="14" borderId="40" xfId="0" applyFont="1" applyFill="1" applyBorder="1" applyAlignment="1" applyProtection="1">
      <alignment horizontal="center"/>
      <protection locked="0" hidden="1"/>
    </xf>
    <xf numFmtId="0" fontId="6" fillId="14" borderId="41" xfId="0" applyFont="1" applyFill="1" applyBorder="1" applyAlignment="1" applyProtection="1">
      <alignment horizontal="center"/>
      <protection locked="0" hidden="1"/>
    </xf>
    <xf numFmtId="0" fontId="6" fillId="14" borderId="42" xfId="0" applyFont="1" applyFill="1" applyBorder="1" applyAlignment="1" applyProtection="1">
      <alignment horizontal="center"/>
      <protection locked="0" hidden="1"/>
    </xf>
    <xf numFmtId="0" fontId="6" fillId="14" borderId="43" xfId="0" applyFont="1" applyFill="1" applyBorder="1" applyAlignment="1" applyProtection="1">
      <alignment horizontal="center"/>
      <protection locked="0" hidden="1"/>
    </xf>
    <xf numFmtId="0" fontId="6" fillId="14" borderId="44" xfId="0" applyFont="1" applyFill="1" applyBorder="1" applyAlignment="1" applyProtection="1">
      <alignment horizontal="center"/>
      <protection locked="0" hidden="1"/>
    </xf>
    <xf numFmtId="0" fontId="9" fillId="15" borderId="0" xfId="0" applyFont="1" applyFill="1" applyAlignment="1" applyProtection="1">
      <alignment horizontal="left"/>
      <protection hidden="1"/>
    </xf>
    <xf numFmtId="2" fontId="9" fillId="17" borderId="0" xfId="0" applyNumberFormat="1" applyFont="1" applyFill="1" applyAlignment="1" applyProtection="1">
      <alignment horizontal="left"/>
      <protection hidden="1"/>
    </xf>
    <xf numFmtId="0" fontId="9" fillId="17" borderId="16" xfId="0" applyFont="1" applyFill="1" applyBorder="1" applyAlignment="1" applyProtection="1">
      <alignment horizontal="center"/>
      <protection hidden="1"/>
    </xf>
    <xf numFmtId="0" fontId="9" fillId="17" borderId="0" xfId="0" applyFont="1" applyFill="1" applyAlignment="1" applyProtection="1">
      <alignment horizontal="left"/>
      <protection hidden="1"/>
    </xf>
    <xf numFmtId="0" fontId="23" fillId="13" borderId="0" xfId="0" applyFont="1" applyFill="1" applyAlignment="1" applyProtection="1">
      <alignment horizontal="center"/>
      <protection hidden="1"/>
    </xf>
    <xf numFmtId="0" fontId="9" fillId="17" borderId="50" xfId="0" applyFont="1" applyFill="1" applyBorder="1" applyAlignment="1" applyProtection="1">
      <alignment horizontal="center"/>
      <protection locked="0" hidden="1"/>
    </xf>
    <xf numFmtId="0" fontId="9" fillId="17" borderId="51" xfId="0" applyFont="1" applyFill="1" applyBorder="1" applyAlignment="1" applyProtection="1">
      <alignment horizontal="center"/>
      <protection locked="0" hidden="1"/>
    </xf>
    <xf numFmtId="0" fontId="9" fillId="17" borderId="52" xfId="0" applyFont="1" applyFill="1" applyBorder="1" applyAlignment="1" applyProtection="1">
      <alignment horizontal="center"/>
      <protection locked="0" hidden="1"/>
    </xf>
  </cellXfs>
  <cellStyles count="2">
    <cellStyle name="Currency" xfId="1" builtinId="4"/>
    <cellStyle name="Normal" xfId="0" builtinId="0"/>
  </cellStyles>
  <dxfs count="0"/>
  <tableStyles count="0" defaultTableStyle="TableStyleMedium9" defaultPivotStyle="PivotStyleLight16"/>
  <colors>
    <mruColors>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5">
  <dgm:title val=""/>
  <dgm:desc val=""/>
  <dgm:catLst>
    <dgm:cat type="accent6" pri="11500"/>
  </dgm:catLst>
  <dgm:styleLbl name="node0">
    <dgm:fillClrLst meth="cycle">
      <a:schemeClr val="accent6">
        <a:alpha val="80000"/>
      </a:schemeClr>
    </dgm:fillClrLst>
    <dgm:linClrLst meth="repeat">
      <a:schemeClr val="lt1"/>
    </dgm:linClrLst>
    <dgm:effectClrLst/>
    <dgm:txLinClrLst/>
    <dgm:txFillClrLst/>
    <dgm:txEffectClrLst/>
  </dgm:styleLbl>
  <dgm:styleLbl name="alignNode1">
    <dgm:fillClrLst>
      <a:schemeClr val="accent6">
        <a:alpha val="90000"/>
      </a:schemeClr>
      <a:schemeClr val="accent6">
        <a:alpha val="50000"/>
      </a:schemeClr>
    </dgm:fillClrLst>
    <dgm:linClrLst>
      <a:schemeClr val="accent6">
        <a:alpha val="90000"/>
      </a:schemeClr>
      <a:schemeClr val="accent6">
        <a:alpha val="50000"/>
      </a:schemeClr>
    </dgm:linClrLst>
    <dgm:effectClrLst/>
    <dgm:txLinClrLst/>
    <dgm:txFillClrLst/>
    <dgm:txEffectClrLst/>
  </dgm:styleLbl>
  <dgm:styleLbl name="node1">
    <dgm:fillClrLst>
      <a:schemeClr val="accent6">
        <a:alpha val="90000"/>
      </a:schemeClr>
      <a:schemeClr val="accent6">
        <a:alpha val="50000"/>
      </a:schemeClr>
    </dgm:fillClrLst>
    <dgm:linClrLst meth="repeat">
      <a:schemeClr val="lt1"/>
    </dgm:linClrLst>
    <dgm:effectClrLst/>
    <dgm:txLinClrLst/>
    <dgm:txFillClrLst/>
    <dgm:txEffectClrLst/>
  </dgm:styleLbl>
  <dgm:styleLbl name="lnNode1">
    <dgm:fillClrLst>
      <a:schemeClr val="accent6">
        <a:shade val="90000"/>
      </a:schemeClr>
      <a:schemeClr val="accent6">
        <a:tint val="50000"/>
        <a:alpha val="5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alpha val="80000"/>
      </a:schemeClr>
    </dgm:fillClrLst>
    <dgm:linClrLst meth="repeat">
      <a:schemeClr val="lt1"/>
    </dgm:linClrLst>
    <dgm:effectClrLst/>
    <dgm:txLinClrLst/>
    <dgm:txFillClrLst/>
    <dgm:txEffectClrLst/>
  </dgm:styleLbl>
  <dgm:styleLbl name="node2">
    <dgm:fillClrLst>
      <a:schemeClr val="accent6">
        <a:alpha val="70000"/>
      </a:schemeClr>
    </dgm:fillClrLst>
    <dgm:linClrLst meth="repeat">
      <a:schemeClr val="lt1"/>
    </dgm:linClrLst>
    <dgm:effectClrLst/>
    <dgm:txLinClrLst/>
    <dgm:txFillClrLst/>
    <dgm:txEffectClrLst/>
  </dgm:styleLbl>
  <dgm:styleLbl name="node3">
    <dgm:fillClrLst>
      <a:schemeClr val="accent6">
        <a:alpha val="50000"/>
      </a:schemeClr>
    </dgm:fillClrLst>
    <dgm:linClrLst meth="repeat">
      <a:schemeClr val="lt1"/>
    </dgm:linClrLst>
    <dgm:effectClrLst/>
    <dgm:txLinClrLst/>
    <dgm:txFillClrLst/>
    <dgm:txEffectClrLst/>
  </dgm:styleLbl>
  <dgm:styleLbl name="node4">
    <dgm:fillClrLst>
      <a:schemeClr val="accent6">
        <a:alpha val="30000"/>
      </a:schemeClr>
    </dgm:fillClrLst>
    <dgm:linClrLst meth="repeat">
      <a:schemeClr val="lt1"/>
    </dgm:linClrLst>
    <dgm:effectClrLst/>
    <dgm:txLinClrLst/>
    <dgm:txFillClrLst/>
    <dgm:txEffectClrLst/>
  </dgm:styleLbl>
  <dgm:styleLbl name="fgImgPlace1">
    <dgm:fillClrLst>
      <a:schemeClr val="accent6">
        <a:tint val="50000"/>
        <a:alpha val="90000"/>
      </a:schemeClr>
      <a:schemeClr val="accent6">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50000"/>
      </a:schemeClr>
    </dgm:fillClrLst>
    <dgm:linClrLst>
      <a:schemeClr val="accent6">
        <a:shade val="90000"/>
      </a:schemeClr>
      <a:schemeClr val="accent6">
        <a:tint val="50000"/>
      </a:schemeClr>
    </dgm:linClrLst>
    <dgm:effectClrLst/>
    <dgm:txLinClrLst/>
    <dgm:txFillClrLst/>
    <dgm:txEffectClrLst/>
  </dgm:styleLbl>
  <dgm:styleLbl name="fgSibTrans2D1">
    <dgm:fillClrLst>
      <a:schemeClr val="accent6">
        <a:shade val="90000"/>
      </a:schemeClr>
      <a:schemeClr val="accent6">
        <a:tint val="50000"/>
      </a:schemeClr>
    </dgm:fillClrLst>
    <dgm:linClrLst>
      <a:schemeClr val="accent6">
        <a:shade val="90000"/>
      </a:schemeClr>
      <a:schemeClr val="accent6">
        <a:tint val="50000"/>
      </a:schemeClr>
    </dgm:linClrLst>
    <dgm:effectClrLst/>
    <dgm:txLinClrLst/>
    <dgm:txFillClrLst/>
    <dgm:txEffectClrLst/>
  </dgm:styleLbl>
  <dgm:styleLbl name="bgSibTrans2D1">
    <dgm:fillClrLst>
      <a:schemeClr val="accent6">
        <a:shade val="90000"/>
      </a:schemeClr>
      <a:schemeClr val="accent6">
        <a:tint val="50000"/>
      </a:schemeClr>
    </dgm:fillClrLst>
    <dgm:linClrLst>
      <a:schemeClr val="accent6">
        <a:shade val="90000"/>
      </a:schemeClr>
      <a:schemeClr val="accent6">
        <a:tint val="50000"/>
      </a:schemeClr>
    </dgm:linClrLst>
    <dgm:effectClrLst/>
    <dgm:txLinClrLst/>
    <dgm:txFillClrLst/>
    <dgm:txEffectClrLst/>
  </dgm:styleLbl>
  <dgm:styleLbl name="sibTrans1D1">
    <dgm:fillClrLst>
      <a:schemeClr val="accent6">
        <a:shade val="90000"/>
      </a:schemeClr>
      <a:schemeClr val="accent6">
        <a:tint val="50000"/>
      </a:schemeClr>
    </dgm:fillClrLst>
    <dgm:linClrLst>
      <a:schemeClr val="accent6">
        <a:shade val="90000"/>
      </a:schemeClr>
      <a:schemeClr val="accent6">
        <a:tint val="5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alpha val="90000"/>
      </a:schemeClr>
    </dgm:fillClrLst>
    <dgm:linClrLst meth="repeat">
      <a:schemeClr val="lt1"/>
    </dgm:linClrLst>
    <dgm:effectClrLst/>
    <dgm:txLinClrLst/>
    <dgm:txFillClrLst/>
    <dgm:txEffectClrLst/>
  </dgm:styleLbl>
  <dgm:styleLbl name="asst1">
    <dgm:fillClrLst meth="repeat">
      <a:schemeClr val="accent6">
        <a:alpha val="90000"/>
      </a:schemeClr>
    </dgm:fillClrLst>
    <dgm:linClrLst meth="repeat">
      <a:schemeClr val="lt1"/>
    </dgm:linClrLst>
    <dgm:effectClrLst/>
    <dgm:txLinClrLst/>
    <dgm:txFillClrLst/>
    <dgm:txEffectClrLst/>
  </dgm:styleLbl>
  <dgm:styleLbl name="asst2">
    <dgm:fillClrLst>
      <a:schemeClr val="accent6">
        <a:alpha val="90000"/>
      </a:schemeClr>
    </dgm:fillClrLst>
    <dgm:linClrLst meth="repeat">
      <a:schemeClr val="lt1"/>
    </dgm:linClrLst>
    <dgm:effectClrLst/>
    <dgm:txLinClrLst/>
    <dgm:txFillClrLst/>
    <dgm:txEffectClrLst/>
  </dgm:styleLbl>
  <dgm:styleLbl name="asst3">
    <dgm:fillClrLst>
      <a:schemeClr val="accent6">
        <a:alpha val="70000"/>
      </a:schemeClr>
    </dgm:fillClrLst>
    <dgm:linClrLst meth="repeat">
      <a:schemeClr val="lt1"/>
    </dgm:linClrLst>
    <dgm:effectClrLst/>
    <dgm:txLinClrLst/>
    <dgm:txFillClrLst/>
    <dgm:txEffectClrLst/>
  </dgm:styleLbl>
  <dgm:styleLbl name="asst4">
    <dgm:fillClrLst>
      <a:schemeClr val="accent6">
        <a:alpha val="50000"/>
      </a:schemeClr>
    </dgm:fillClrLst>
    <dgm:linClrLst meth="repeat">
      <a:schemeClr val="lt1"/>
    </dgm:linClrLst>
    <dgm:effectClrLst/>
    <dgm:txLinClrLst/>
    <dgm:txFillClrLst/>
    <dgm:txEffectClrLst/>
  </dgm:styleLbl>
  <dgm:styleLbl name="parChTrans2D1">
    <dgm:fillClrLst meth="repeat">
      <a:schemeClr val="accent6">
        <a:shade val="80000"/>
      </a:schemeClr>
    </dgm:fillClrLst>
    <dgm:linClrLst meth="repeat">
      <a:schemeClr val="accent6">
        <a:shade val="80000"/>
      </a:schemeClr>
    </dgm:linClrLst>
    <dgm:effectClrLst/>
    <dgm:txLinClrLst/>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dk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a:tint val="90000"/>
      </a:schemeClr>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alpha val="90000"/>
      </a:schemeClr>
      <a:schemeClr val="accent6">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alpha val="90000"/>
      </a:schemeClr>
      <a:schemeClr val="accent6">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alpha val="90000"/>
      </a:schemeClr>
      <a:schemeClr val="accent6">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6">
        <a:alpha val="90000"/>
      </a:schemeClr>
      <a:schemeClr val="accent6">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6">
        <a:alpha val="90000"/>
      </a:schemeClr>
      <a:schemeClr val="accent6">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6">
        <a:alpha val="90000"/>
      </a:schemeClr>
      <a:schemeClr val="accent6">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a:schemeClr val="accent6">
        <a:alpha val="90000"/>
        <a:tint val="40000"/>
      </a:schemeClr>
      <a:schemeClr val="accent6">
        <a:alpha val="5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5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Calculate Age Nearest Birthday</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26344" custLinFactNeighborY="15613">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626563BF-3812-41BB-82CD-1326BABA85D0}" type="presOf" srcId="{1BBB3591-C92E-4F56-BACE-2F66702FC9B4}" destId="{CC914B14-6E75-4299-8ACA-9CD7CA32331A}" srcOrd="0" destOrd="0" presId="urn:microsoft.com/office/officeart/2005/8/layout/hProcess3"/>
    <dgm:cxn modelId="{C51D6DDE-5E57-4900-9B20-A2D1841F4642}"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F1B98BB2-D653-4AC1-B64D-4D82891F4DCA}" type="presParOf" srcId="{126751D7-52FC-4B95-9514-D26DF65F4E6F}" destId="{BF66AD15-FF31-43F0-91E3-1271779E570E}" srcOrd="0" destOrd="0" presId="urn:microsoft.com/office/officeart/2005/8/layout/hProcess3"/>
    <dgm:cxn modelId="{D4A450AA-3172-492B-B7B2-230497F6FC6C}" type="presParOf" srcId="{126751D7-52FC-4B95-9514-D26DF65F4E6F}" destId="{23721748-CF47-4237-AB2A-9579673F1C8E}" srcOrd="1" destOrd="0" presId="urn:microsoft.com/office/officeart/2005/8/layout/hProcess3"/>
    <dgm:cxn modelId="{90976BFC-2D73-4558-A57D-338662D3B940}" type="presParOf" srcId="{23721748-CF47-4237-AB2A-9579673F1C8E}" destId="{738207DE-2607-4A3F-8C7E-D28CB54EC545}" srcOrd="0" destOrd="0" presId="urn:microsoft.com/office/officeart/2005/8/layout/hProcess3"/>
    <dgm:cxn modelId="{6DB5FDEE-80E9-4432-AE2A-7E7D6A09ADB5}" type="presParOf" srcId="{23721748-CF47-4237-AB2A-9579673F1C8E}" destId="{2BF5B933-C91E-4430-9DED-970BA14730FC}" srcOrd="1" destOrd="0" presId="urn:microsoft.com/office/officeart/2005/8/layout/hProcess3"/>
    <dgm:cxn modelId="{5D0A9C2A-2338-46F6-B584-FD3AAAE38D1A}" type="presParOf" srcId="{2BF5B933-C91E-4430-9DED-970BA14730FC}" destId="{C5F1859B-1712-465A-86FE-AEB820DCCBBA}" srcOrd="0" destOrd="0" presId="urn:microsoft.com/office/officeart/2005/8/layout/hProcess3"/>
    <dgm:cxn modelId="{D280BD1D-84BC-4D6F-A67B-21E3B108CB69}" type="presParOf" srcId="{2BF5B933-C91E-4430-9DED-970BA14730FC}" destId="{CC914B14-6E75-4299-8ACA-9CD7CA32331A}" srcOrd="1" destOrd="0" presId="urn:microsoft.com/office/officeart/2005/8/layout/hProcess3"/>
    <dgm:cxn modelId="{3BBAA302-8C03-490D-82FD-659284B607C1}" type="presParOf" srcId="{2BF5B933-C91E-4430-9DED-970BA14730FC}" destId="{61AC15D6-1CEC-4F87-82FB-7C5D4276974E}" srcOrd="2" destOrd="0" presId="urn:microsoft.com/office/officeart/2005/8/layout/hProcess3"/>
    <dgm:cxn modelId="{00854813-8A2A-431A-80FB-C095BD5063D1}" type="presParOf" srcId="{2BF5B933-C91E-4430-9DED-970BA14730FC}" destId="{71740DD9-6F87-4ABE-8FF1-D0CC6C90A433}" srcOrd="3" destOrd="0" presId="urn:microsoft.com/office/officeart/2005/8/layout/hProcess3"/>
    <dgm:cxn modelId="{7FA32DBE-17B8-4BC0-9E3B-3B83B6531976}" type="presParOf" srcId="{23721748-CF47-4237-AB2A-9579673F1C8E}" destId="{9A4EC366-19C1-4A6D-BA66-F999401156CB}" srcOrd="2" destOrd="0" presId="urn:microsoft.com/office/officeart/2005/8/layout/hProcess3"/>
    <dgm:cxn modelId="{F2E1A68B-0DAB-425C-9AD6-8D004B8D84C5}" type="presParOf" srcId="{23721748-CF47-4237-AB2A-9579673F1C8E}" destId="{ED7D97BD-2FE5-4822-B4C1-3077391E1565}" srcOrd="3" destOrd="0" presId="urn:microsoft.com/office/officeart/2005/8/layout/hProcess3"/>
    <dgm:cxn modelId="{1239E120-6BE0-4438-B5B8-77C239B935EF}"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25261" custLinFactNeighborY="19196">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176EA820-2E49-4B90-944F-8EAAC45E7ADE}" type="presOf" srcId="{1BBB3591-C92E-4F56-BACE-2F66702FC9B4}" destId="{CC914B14-6E75-4299-8ACA-9CD7CA32331A}" srcOrd="0" destOrd="0" presId="urn:microsoft.com/office/officeart/2005/8/layout/hProcess3"/>
    <dgm:cxn modelId="{37D1DE3E-9E82-493E-93B0-ABE418978C14}"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B09DB181-1C31-478B-BCF8-F22A09C76E17}" type="presParOf" srcId="{126751D7-52FC-4B95-9514-D26DF65F4E6F}" destId="{BF66AD15-FF31-43F0-91E3-1271779E570E}" srcOrd="0" destOrd="0" presId="urn:microsoft.com/office/officeart/2005/8/layout/hProcess3"/>
    <dgm:cxn modelId="{6B8E910F-89CE-4A20-9AB3-84E6E9FE3E9B}" type="presParOf" srcId="{126751D7-52FC-4B95-9514-D26DF65F4E6F}" destId="{23721748-CF47-4237-AB2A-9579673F1C8E}" srcOrd="1" destOrd="0" presId="urn:microsoft.com/office/officeart/2005/8/layout/hProcess3"/>
    <dgm:cxn modelId="{12177E78-C884-4DAC-835F-111BA488FA6A}" type="presParOf" srcId="{23721748-CF47-4237-AB2A-9579673F1C8E}" destId="{738207DE-2607-4A3F-8C7E-D28CB54EC545}" srcOrd="0" destOrd="0" presId="urn:microsoft.com/office/officeart/2005/8/layout/hProcess3"/>
    <dgm:cxn modelId="{F56AC705-E721-4DE1-A3E4-A4ACBD8638E0}" type="presParOf" srcId="{23721748-CF47-4237-AB2A-9579673F1C8E}" destId="{2BF5B933-C91E-4430-9DED-970BA14730FC}" srcOrd="1" destOrd="0" presId="urn:microsoft.com/office/officeart/2005/8/layout/hProcess3"/>
    <dgm:cxn modelId="{087A8A6D-2CE7-4D3C-81B0-3232D342C592}" type="presParOf" srcId="{2BF5B933-C91E-4430-9DED-970BA14730FC}" destId="{C5F1859B-1712-465A-86FE-AEB820DCCBBA}" srcOrd="0" destOrd="0" presId="urn:microsoft.com/office/officeart/2005/8/layout/hProcess3"/>
    <dgm:cxn modelId="{95562108-D2B8-4631-B274-8F365F4382F9}" type="presParOf" srcId="{2BF5B933-C91E-4430-9DED-970BA14730FC}" destId="{CC914B14-6E75-4299-8ACA-9CD7CA32331A}" srcOrd="1" destOrd="0" presId="urn:microsoft.com/office/officeart/2005/8/layout/hProcess3"/>
    <dgm:cxn modelId="{E57B7D32-7528-421A-BEC8-EF64A0C7B492}" type="presParOf" srcId="{2BF5B933-C91E-4430-9DED-970BA14730FC}" destId="{61AC15D6-1CEC-4F87-82FB-7C5D4276974E}" srcOrd="2" destOrd="0" presId="urn:microsoft.com/office/officeart/2005/8/layout/hProcess3"/>
    <dgm:cxn modelId="{CC6E60AE-9E25-413C-A5C5-99C7E9411093}" type="presParOf" srcId="{2BF5B933-C91E-4430-9DED-970BA14730FC}" destId="{71740DD9-6F87-4ABE-8FF1-D0CC6C90A433}" srcOrd="3" destOrd="0" presId="urn:microsoft.com/office/officeart/2005/8/layout/hProcess3"/>
    <dgm:cxn modelId="{77959E33-A3C9-48C8-B751-D44D5A7BA224}" type="presParOf" srcId="{23721748-CF47-4237-AB2A-9579673F1C8E}" destId="{9A4EC366-19C1-4A6D-BA66-F999401156CB}" srcOrd="2" destOrd="0" presId="urn:microsoft.com/office/officeart/2005/8/layout/hProcess3"/>
    <dgm:cxn modelId="{4154CA12-6593-43CD-BEAE-81386D2DBFC3}" type="presParOf" srcId="{23721748-CF47-4237-AB2A-9579673F1C8E}" destId="{ED7D97BD-2FE5-4822-B4C1-3077391E1565}" srcOrd="3" destOrd="0" presId="urn:microsoft.com/office/officeart/2005/8/layout/hProcess3"/>
    <dgm:cxn modelId="{4439DA62-75BC-4459-8CE1-865A77E23E8D}"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25261" custLinFactNeighborY="19196">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980EC502-62A5-46D0-A272-412A2A606B6A}" type="presOf" srcId="{1BBB3591-C92E-4F56-BACE-2F66702FC9B4}" destId="{CC914B14-6E75-4299-8ACA-9CD7CA32331A}" srcOrd="0" destOrd="0" presId="urn:microsoft.com/office/officeart/2005/8/layout/hProcess3"/>
    <dgm:cxn modelId="{AC3B6922-007E-461D-AEED-16BE26839B8B}"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B5B41DE9-63FC-47EC-A81A-8C0BC876F575}" type="presParOf" srcId="{126751D7-52FC-4B95-9514-D26DF65F4E6F}" destId="{BF66AD15-FF31-43F0-91E3-1271779E570E}" srcOrd="0" destOrd="0" presId="urn:microsoft.com/office/officeart/2005/8/layout/hProcess3"/>
    <dgm:cxn modelId="{233DD692-6AC6-4C7B-A9D9-62BD2BC8BEBF}" type="presParOf" srcId="{126751D7-52FC-4B95-9514-D26DF65F4E6F}" destId="{23721748-CF47-4237-AB2A-9579673F1C8E}" srcOrd="1" destOrd="0" presId="urn:microsoft.com/office/officeart/2005/8/layout/hProcess3"/>
    <dgm:cxn modelId="{34A17DAA-91EE-414A-9D00-E8E7CD45165C}" type="presParOf" srcId="{23721748-CF47-4237-AB2A-9579673F1C8E}" destId="{738207DE-2607-4A3F-8C7E-D28CB54EC545}" srcOrd="0" destOrd="0" presId="urn:microsoft.com/office/officeart/2005/8/layout/hProcess3"/>
    <dgm:cxn modelId="{F514FD7E-FFB3-435C-BEB6-45B7694CAFB9}" type="presParOf" srcId="{23721748-CF47-4237-AB2A-9579673F1C8E}" destId="{2BF5B933-C91E-4430-9DED-970BA14730FC}" srcOrd="1" destOrd="0" presId="urn:microsoft.com/office/officeart/2005/8/layout/hProcess3"/>
    <dgm:cxn modelId="{A0B7B27F-8976-4179-93EA-27708A765FBE}" type="presParOf" srcId="{2BF5B933-C91E-4430-9DED-970BA14730FC}" destId="{C5F1859B-1712-465A-86FE-AEB820DCCBBA}" srcOrd="0" destOrd="0" presId="urn:microsoft.com/office/officeart/2005/8/layout/hProcess3"/>
    <dgm:cxn modelId="{5AA907E3-DEF3-45B3-BA1C-FC99381179FD}" type="presParOf" srcId="{2BF5B933-C91E-4430-9DED-970BA14730FC}" destId="{CC914B14-6E75-4299-8ACA-9CD7CA32331A}" srcOrd="1" destOrd="0" presId="urn:microsoft.com/office/officeart/2005/8/layout/hProcess3"/>
    <dgm:cxn modelId="{5BDF8A41-D6D2-4BB5-AD2E-2F2144230429}" type="presParOf" srcId="{2BF5B933-C91E-4430-9DED-970BA14730FC}" destId="{61AC15D6-1CEC-4F87-82FB-7C5D4276974E}" srcOrd="2" destOrd="0" presId="urn:microsoft.com/office/officeart/2005/8/layout/hProcess3"/>
    <dgm:cxn modelId="{7242950D-3C57-4015-AB97-2294D7A90360}" type="presParOf" srcId="{2BF5B933-C91E-4430-9DED-970BA14730FC}" destId="{71740DD9-6F87-4ABE-8FF1-D0CC6C90A433}" srcOrd="3" destOrd="0" presId="urn:microsoft.com/office/officeart/2005/8/layout/hProcess3"/>
    <dgm:cxn modelId="{0B20B60D-9A94-4E9E-AC1F-6AE3357AD805}" type="presParOf" srcId="{23721748-CF47-4237-AB2A-9579673F1C8E}" destId="{9A4EC366-19C1-4A6D-BA66-F999401156CB}" srcOrd="2" destOrd="0" presId="urn:microsoft.com/office/officeart/2005/8/layout/hProcess3"/>
    <dgm:cxn modelId="{3BC1EFCF-EF0A-494D-8E4B-7427AB18606C}" type="presParOf" srcId="{23721748-CF47-4237-AB2A-9579673F1C8E}" destId="{ED7D97BD-2FE5-4822-B4C1-3077391E1565}" srcOrd="3" destOrd="0" presId="urn:microsoft.com/office/officeart/2005/8/layout/hProcess3"/>
    <dgm:cxn modelId="{A7780544-130C-4E8A-946F-84E9A79A47FA}"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31"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9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3640">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D88B925F-1EFF-4077-99D9-76AA9C75CF8E}" type="presOf" srcId="{61B365B8-C965-4040-A4F3-2D68566E5A1B}" destId="{126751D7-52FC-4B95-9514-D26DF65F4E6F}" srcOrd="0" destOrd="0" presId="urn:microsoft.com/office/officeart/2005/8/layout/hProcess3"/>
    <dgm:cxn modelId="{C6963EA6-D5A3-42B6-B862-E26DFDAD5264}" type="presOf" srcId="{1BBB3591-C92E-4F56-BACE-2F66702FC9B4}" destId="{CC914B14-6E75-4299-8ACA-9CD7CA32331A}"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00C89D29-9976-40DE-B0F0-A9EF8E8D527B}" type="presParOf" srcId="{126751D7-52FC-4B95-9514-D26DF65F4E6F}" destId="{BF66AD15-FF31-43F0-91E3-1271779E570E}" srcOrd="0" destOrd="0" presId="urn:microsoft.com/office/officeart/2005/8/layout/hProcess3"/>
    <dgm:cxn modelId="{BD05B461-AD02-4432-A796-6C43ABF3A543}" type="presParOf" srcId="{126751D7-52FC-4B95-9514-D26DF65F4E6F}" destId="{23721748-CF47-4237-AB2A-9579673F1C8E}" srcOrd="1" destOrd="0" presId="urn:microsoft.com/office/officeart/2005/8/layout/hProcess3"/>
    <dgm:cxn modelId="{8BDE6E2F-4A6B-4551-9143-99CAA5BE7C81}" type="presParOf" srcId="{23721748-CF47-4237-AB2A-9579673F1C8E}" destId="{738207DE-2607-4A3F-8C7E-D28CB54EC545}" srcOrd="0" destOrd="0" presId="urn:microsoft.com/office/officeart/2005/8/layout/hProcess3"/>
    <dgm:cxn modelId="{653AE55B-886C-4792-A8C5-AF4F3D4C30EC}" type="presParOf" srcId="{23721748-CF47-4237-AB2A-9579673F1C8E}" destId="{2BF5B933-C91E-4430-9DED-970BA14730FC}" srcOrd="1" destOrd="0" presId="urn:microsoft.com/office/officeart/2005/8/layout/hProcess3"/>
    <dgm:cxn modelId="{6A119C02-BB00-4566-AD9B-0FC09738040E}" type="presParOf" srcId="{2BF5B933-C91E-4430-9DED-970BA14730FC}" destId="{C5F1859B-1712-465A-86FE-AEB820DCCBBA}" srcOrd="0" destOrd="0" presId="urn:microsoft.com/office/officeart/2005/8/layout/hProcess3"/>
    <dgm:cxn modelId="{E2399A4F-0B48-4EC3-B11A-DD2F33D7F0F2}" type="presParOf" srcId="{2BF5B933-C91E-4430-9DED-970BA14730FC}" destId="{CC914B14-6E75-4299-8ACA-9CD7CA32331A}" srcOrd="1" destOrd="0" presId="urn:microsoft.com/office/officeart/2005/8/layout/hProcess3"/>
    <dgm:cxn modelId="{FDF80095-EDFE-4D64-9BA4-5D00949F3290}" type="presParOf" srcId="{2BF5B933-C91E-4430-9DED-970BA14730FC}" destId="{61AC15D6-1CEC-4F87-82FB-7C5D4276974E}" srcOrd="2" destOrd="0" presId="urn:microsoft.com/office/officeart/2005/8/layout/hProcess3"/>
    <dgm:cxn modelId="{04CCB155-5AAB-4423-B24A-A1245551E5A0}" type="presParOf" srcId="{2BF5B933-C91E-4430-9DED-970BA14730FC}" destId="{71740DD9-6F87-4ABE-8FF1-D0CC6C90A433}" srcOrd="3" destOrd="0" presId="urn:microsoft.com/office/officeart/2005/8/layout/hProcess3"/>
    <dgm:cxn modelId="{774BF1D4-A9EA-4534-83EC-6B041B4E9B01}" type="presParOf" srcId="{23721748-CF47-4237-AB2A-9579673F1C8E}" destId="{9A4EC366-19C1-4A6D-BA66-F999401156CB}" srcOrd="2" destOrd="0" presId="urn:microsoft.com/office/officeart/2005/8/layout/hProcess3"/>
    <dgm:cxn modelId="{4744ADF7-785A-4A65-B138-70C869C603E7}" type="presParOf" srcId="{23721748-CF47-4237-AB2A-9579673F1C8E}" destId="{ED7D97BD-2FE5-4822-B4C1-3077391E1565}" srcOrd="3" destOrd="0" presId="urn:microsoft.com/office/officeart/2005/8/layout/hProcess3"/>
    <dgm:cxn modelId="{0CAD999B-15CC-42C9-A8EA-FA41425C7406}"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See Detail</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26344" custLinFactNeighborY="15613">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7E0C8CA3-D487-4E59-8360-80AE688AA788}" type="presOf" srcId="{1BBB3591-C92E-4F56-BACE-2F66702FC9B4}" destId="{CC914B14-6E75-4299-8ACA-9CD7CA32331A}" srcOrd="0" destOrd="0" presId="urn:microsoft.com/office/officeart/2005/8/layout/hProcess3"/>
    <dgm:cxn modelId="{0D9F6AAD-9059-4F44-8F45-57C38F52F2FC}"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E22270A5-5C8E-4264-A700-DFF82AE99753}" type="presParOf" srcId="{126751D7-52FC-4B95-9514-D26DF65F4E6F}" destId="{BF66AD15-FF31-43F0-91E3-1271779E570E}" srcOrd="0" destOrd="0" presId="urn:microsoft.com/office/officeart/2005/8/layout/hProcess3"/>
    <dgm:cxn modelId="{C8BE729E-461C-44EB-B9F3-F101BC986C0D}" type="presParOf" srcId="{126751D7-52FC-4B95-9514-D26DF65F4E6F}" destId="{23721748-CF47-4237-AB2A-9579673F1C8E}" srcOrd="1" destOrd="0" presId="urn:microsoft.com/office/officeart/2005/8/layout/hProcess3"/>
    <dgm:cxn modelId="{BD2BB03B-4A27-49F6-B9E6-66C9D1764CBE}" type="presParOf" srcId="{23721748-CF47-4237-AB2A-9579673F1C8E}" destId="{738207DE-2607-4A3F-8C7E-D28CB54EC545}" srcOrd="0" destOrd="0" presId="urn:microsoft.com/office/officeart/2005/8/layout/hProcess3"/>
    <dgm:cxn modelId="{AEE574FF-AB28-4ADC-A94D-7E4E14A890ED}" type="presParOf" srcId="{23721748-CF47-4237-AB2A-9579673F1C8E}" destId="{2BF5B933-C91E-4430-9DED-970BA14730FC}" srcOrd="1" destOrd="0" presId="urn:microsoft.com/office/officeart/2005/8/layout/hProcess3"/>
    <dgm:cxn modelId="{BBB45457-73F8-4068-B613-8882894B0A75}" type="presParOf" srcId="{2BF5B933-C91E-4430-9DED-970BA14730FC}" destId="{C5F1859B-1712-465A-86FE-AEB820DCCBBA}" srcOrd="0" destOrd="0" presId="urn:microsoft.com/office/officeart/2005/8/layout/hProcess3"/>
    <dgm:cxn modelId="{21382253-E6BA-4FC5-9DDD-E7796FA22713}" type="presParOf" srcId="{2BF5B933-C91E-4430-9DED-970BA14730FC}" destId="{CC914B14-6E75-4299-8ACA-9CD7CA32331A}" srcOrd="1" destOrd="0" presId="urn:microsoft.com/office/officeart/2005/8/layout/hProcess3"/>
    <dgm:cxn modelId="{BC59A3A6-8977-4B4F-9E2E-809F302D0424}" type="presParOf" srcId="{2BF5B933-C91E-4430-9DED-970BA14730FC}" destId="{61AC15D6-1CEC-4F87-82FB-7C5D4276974E}" srcOrd="2" destOrd="0" presId="urn:microsoft.com/office/officeart/2005/8/layout/hProcess3"/>
    <dgm:cxn modelId="{C94D7102-CFD1-491B-9AE5-6DBDA16F1457}" type="presParOf" srcId="{2BF5B933-C91E-4430-9DED-970BA14730FC}" destId="{71740DD9-6F87-4ABE-8FF1-D0CC6C90A433}" srcOrd="3" destOrd="0" presId="urn:microsoft.com/office/officeart/2005/8/layout/hProcess3"/>
    <dgm:cxn modelId="{7842639A-BB27-4091-9383-F3C7558086E5}" type="presParOf" srcId="{23721748-CF47-4237-AB2A-9579673F1C8E}" destId="{9A4EC366-19C1-4A6D-BA66-F999401156CB}" srcOrd="2" destOrd="0" presId="urn:microsoft.com/office/officeart/2005/8/layout/hProcess3"/>
    <dgm:cxn modelId="{4124C160-DBC6-4371-BC7F-A6A7F04ECA92}" type="presParOf" srcId="{23721748-CF47-4237-AB2A-9579673F1C8E}" destId="{ED7D97BD-2FE5-4822-B4C1-3077391E1565}" srcOrd="3" destOrd="0" presId="urn:microsoft.com/office/officeart/2005/8/layout/hProcess3"/>
    <dgm:cxn modelId="{48C0B8D7-29E1-4585-B60A-03AD60A03111}"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3215A7D-8184-4F07-A651-B60A4A047EC7}" type="doc">
      <dgm:prSet loTypeId="urn:microsoft.com/office/officeart/2005/8/layout/hProcess3" loCatId="process" qsTypeId="urn:microsoft.com/office/officeart/2005/8/quickstyle/3d1" qsCatId="3D" csTypeId="urn:microsoft.com/office/officeart/2005/8/colors/accent1_2" csCatId="accent1" phldr="1"/>
      <dgm:spPr/>
    </dgm:pt>
    <dgm:pt modelId="{C297442B-5D8E-45BB-8285-79BE70FAA26F}">
      <dgm:prSet phldrT="[Text]" custT="1"/>
      <dgm:spPr/>
      <dgm:t>
        <a:bodyPr/>
        <a:lstStyle/>
        <a:p>
          <a:endParaRPr lang="en-US" sz="900" b="1">
            <a:latin typeface="Bookman Old Style" pitchFamily="18" charset="0"/>
          </a:endParaRPr>
        </a:p>
        <a:p>
          <a:r>
            <a:rPr lang="en-US" sz="900" b="1">
              <a:latin typeface="Bookman Old Style" pitchFamily="18" charset="0"/>
            </a:rPr>
            <a:t>See Illustration</a:t>
          </a:r>
        </a:p>
      </dgm:t>
    </dgm:pt>
    <dgm:pt modelId="{75171A5B-E18B-4345-8093-7B7F3377735E}" type="parTrans" cxnId="{18617DC2-6E88-42F4-91C0-DAAA29CD3D50}">
      <dgm:prSet/>
      <dgm:spPr/>
      <dgm:t>
        <a:bodyPr/>
        <a:lstStyle/>
        <a:p>
          <a:endParaRPr lang="en-US"/>
        </a:p>
      </dgm:t>
    </dgm:pt>
    <dgm:pt modelId="{E27B4315-F5D9-4DB7-B87A-805168D68564}" type="sibTrans" cxnId="{18617DC2-6E88-42F4-91C0-DAAA29CD3D50}">
      <dgm:prSet/>
      <dgm:spPr/>
      <dgm:t>
        <a:bodyPr/>
        <a:lstStyle/>
        <a:p>
          <a:endParaRPr lang="en-US"/>
        </a:p>
      </dgm:t>
    </dgm:pt>
    <dgm:pt modelId="{1F361CF3-B768-480A-9895-DE32514BFEDD}" type="pres">
      <dgm:prSet presAssocID="{13215A7D-8184-4F07-A651-B60A4A047EC7}" presName="Name0" presStyleCnt="0">
        <dgm:presLayoutVars>
          <dgm:dir/>
          <dgm:animLvl val="lvl"/>
          <dgm:resizeHandles val="exact"/>
        </dgm:presLayoutVars>
      </dgm:prSet>
      <dgm:spPr/>
    </dgm:pt>
    <dgm:pt modelId="{96EE5E98-D184-482C-B3C4-B70C3CB0370D}" type="pres">
      <dgm:prSet presAssocID="{13215A7D-8184-4F07-A651-B60A4A047EC7}" presName="dummy" presStyleCnt="0"/>
      <dgm:spPr/>
    </dgm:pt>
    <dgm:pt modelId="{560E8D93-CAFF-4D40-B6D4-7E5B46C8C98B}" type="pres">
      <dgm:prSet presAssocID="{13215A7D-8184-4F07-A651-B60A4A047EC7}" presName="linH" presStyleCnt="0"/>
      <dgm:spPr/>
    </dgm:pt>
    <dgm:pt modelId="{9C8E94F6-28CE-45EC-9530-34CF391EADEE}" type="pres">
      <dgm:prSet presAssocID="{13215A7D-8184-4F07-A651-B60A4A047EC7}" presName="padding1" presStyleCnt="0"/>
      <dgm:spPr/>
    </dgm:pt>
    <dgm:pt modelId="{BF2AE171-615C-4482-8C4F-4BAE26263C92}" type="pres">
      <dgm:prSet presAssocID="{C297442B-5D8E-45BB-8285-79BE70FAA26F}" presName="linV" presStyleCnt="0"/>
      <dgm:spPr/>
    </dgm:pt>
    <dgm:pt modelId="{A1216F9B-6A80-4905-A5F9-439C60E95EF4}" type="pres">
      <dgm:prSet presAssocID="{C297442B-5D8E-45BB-8285-79BE70FAA26F}" presName="spVertical1" presStyleCnt="0"/>
      <dgm:spPr/>
    </dgm:pt>
    <dgm:pt modelId="{9CAB859F-86FD-41E1-AC7E-8D609FCDE319}" type="pres">
      <dgm:prSet presAssocID="{C297442B-5D8E-45BB-8285-79BE70FAA26F}" presName="parTx" presStyleLbl="revTx" presStyleIdx="0" presStyleCnt="1" custLinFactX="-67896" custLinFactY="-100000" custLinFactNeighborX="-100000" custLinFactNeighborY="-195433">
        <dgm:presLayoutVars>
          <dgm:chMax val="0"/>
          <dgm:chPref val="0"/>
          <dgm:bulletEnabled val="1"/>
        </dgm:presLayoutVars>
      </dgm:prSet>
      <dgm:spPr/>
    </dgm:pt>
    <dgm:pt modelId="{B55BAC00-6AD3-4E38-BE46-2E13CD5BFC59}" type="pres">
      <dgm:prSet presAssocID="{C297442B-5D8E-45BB-8285-79BE70FAA26F}" presName="spVertical2" presStyleCnt="0"/>
      <dgm:spPr/>
    </dgm:pt>
    <dgm:pt modelId="{A75AA82F-134C-4D89-9090-B3E66DE1D317}" type="pres">
      <dgm:prSet presAssocID="{C297442B-5D8E-45BB-8285-79BE70FAA26F}" presName="spVertical3" presStyleCnt="0"/>
      <dgm:spPr/>
    </dgm:pt>
    <dgm:pt modelId="{FB5BB190-A79D-4A9D-8DD2-E0B8A792CA49}" type="pres">
      <dgm:prSet presAssocID="{13215A7D-8184-4F07-A651-B60A4A047EC7}" presName="padding2" presStyleCnt="0"/>
      <dgm:spPr/>
    </dgm:pt>
    <dgm:pt modelId="{6A643E9B-3332-4AF4-98E3-FF269562C0AD}" type="pres">
      <dgm:prSet presAssocID="{13215A7D-8184-4F07-A651-B60A4A047EC7}" presName="negArrow" presStyleCnt="0"/>
      <dgm:spPr/>
    </dgm:pt>
    <dgm:pt modelId="{2B94457B-A27D-40ED-AD26-7E860D26D6E4}" type="pres">
      <dgm:prSet presAssocID="{13215A7D-8184-4F07-A651-B60A4A047EC7}" presName="backgroundArrow" presStyleLbl="node1" presStyleIdx="0" presStyleCnt="1"/>
      <dgm:spPr/>
    </dgm:pt>
  </dgm:ptLst>
  <dgm:cxnLst>
    <dgm:cxn modelId="{8C479441-4F87-453D-9BDF-D24B46BAD906}" type="presOf" srcId="{13215A7D-8184-4F07-A651-B60A4A047EC7}" destId="{1F361CF3-B768-480A-9895-DE32514BFEDD}" srcOrd="0" destOrd="0" presId="urn:microsoft.com/office/officeart/2005/8/layout/hProcess3"/>
    <dgm:cxn modelId="{18617DC2-6E88-42F4-91C0-DAAA29CD3D50}" srcId="{13215A7D-8184-4F07-A651-B60A4A047EC7}" destId="{C297442B-5D8E-45BB-8285-79BE70FAA26F}" srcOrd="0" destOrd="0" parTransId="{75171A5B-E18B-4345-8093-7B7F3377735E}" sibTransId="{E27B4315-F5D9-4DB7-B87A-805168D68564}"/>
    <dgm:cxn modelId="{1D0B0EC7-B7F2-4F38-AB9F-2B06F7846FF2}" type="presOf" srcId="{C297442B-5D8E-45BB-8285-79BE70FAA26F}" destId="{9CAB859F-86FD-41E1-AC7E-8D609FCDE319}" srcOrd="0" destOrd="0" presId="urn:microsoft.com/office/officeart/2005/8/layout/hProcess3"/>
    <dgm:cxn modelId="{CC5345B4-E997-4B21-BD53-CFC75AEFFAF0}" type="presParOf" srcId="{1F361CF3-B768-480A-9895-DE32514BFEDD}" destId="{96EE5E98-D184-482C-B3C4-B70C3CB0370D}" srcOrd="0" destOrd="0" presId="urn:microsoft.com/office/officeart/2005/8/layout/hProcess3"/>
    <dgm:cxn modelId="{24A0732C-9C5B-4B6F-95B3-880728E4AF2A}" type="presParOf" srcId="{1F361CF3-B768-480A-9895-DE32514BFEDD}" destId="{560E8D93-CAFF-4D40-B6D4-7E5B46C8C98B}" srcOrd="1" destOrd="0" presId="urn:microsoft.com/office/officeart/2005/8/layout/hProcess3"/>
    <dgm:cxn modelId="{A2E94BCE-C203-42F3-A39B-92172CD3187F}" type="presParOf" srcId="{560E8D93-CAFF-4D40-B6D4-7E5B46C8C98B}" destId="{9C8E94F6-28CE-45EC-9530-34CF391EADEE}" srcOrd="0" destOrd="0" presId="urn:microsoft.com/office/officeart/2005/8/layout/hProcess3"/>
    <dgm:cxn modelId="{631DE3A4-7239-48BE-BA52-E1C6BC7DB49D}" type="presParOf" srcId="{560E8D93-CAFF-4D40-B6D4-7E5B46C8C98B}" destId="{BF2AE171-615C-4482-8C4F-4BAE26263C92}" srcOrd="1" destOrd="0" presId="urn:microsoft.com/office/officeart/2005/8/layout/hProcess3"/>
    <dgm:cxn modelId="{BB66CD46-77F4-45D5-9BE8-957F2AD9339A}" type="presParOf" srcId="{BF2AE171-615C-4482-8C4F-4BAE26263C92}" destId="{A1216F9B-6A80-4905-A5F9-439C60E95EF4}" srcOrd="0" destOrd="0" presId="urn:microsoft.com/office/officeart/2005/8/layout/hProcess3"/>
    <dgm:cxn modelId="{4FFE5770-B2D4-4524-86D9-13715A1770C9}" type="presParOf" srcId="{BF2AE171-615C-4482-8C4F-4BAE26263C92}" destId="{9CAB859F-86FD-41E1-AC7E-8D609FCDE319}" srcOrd="1" destOrd="0" presId="urn:microsoft.com/office/officeart/2005/8/layout/hProcess3"/>
    <dgm:cxn modelId="{A3BD3671-C06D-4E55-8328-86DD906B2E7D}" type="presParOf" srcId="{BF2AE171-615C-4482-8C4F-4BAE26263C92}" destId="{B55BAC00-6AD3-4E38-BE46-2E13CD5BFC59}" srcOrd="2" destOrd="0" presId="urn:microsoft.com/office/officeart/2005/8/layout/hProcess3"/>
    <dgm:cxn modelId="{2BFC40AB-252D-487A-95A9-A0F989067E06}" type="presParOf" srcId="{BF2AE171-615C-4482-8C4F-4BAE26263C92}" destId="{A75AA82F-134C-4D89-9090-B3E66DE1D317}" srcOrd="3" destOrd="0" presId="urn:microsoft.com/office/officeart/2005/8/layout/hProcess3"/>
    <dgm:cxn modelId="{83FDDB50-B206-400B-8664-77419D3EA548}" type="presParOf" srcId="{560E8D93-CAFF-4D40-B6D4-7E5B46C8C98B}" destId="{FB5BB190-A79D-4A9D-8DD2-E0B8A792CA49}" srcOrd="2" destOrd="0" presId="urn:microsoft.com/office/officeart/2005/8/layout/hProcess3"/>
    <dgm:cxn modelId="{C1E332EB-91F4-4E29-B920-4E2AFCB776B8}" type="presParOf" srcId="{560E8D93-CAFF-4D40-B6D4-7E5B46C8C98B}" destId="{6A643E9B-3332-4AF4-98E3-FF269562C0AD}" srcOrd="3" destOrd="0" presId="urn:microsoft.com/office/officeart/2005/8/layout/hProcess3"/>
    <dgm:cxn modelId="{07D08D63-A9F1-4C24-A86F-2A3313D9B219}" type="presParOf" srcId="{560E8D93-CAFF-4D40-B6D4-7E5B46C8C98B}" destId="{2B94457B-A27D-40ED-AD26-7E860D26D6E4}" srcOrd="4" destOrd="0" presId="urn:microsoft.com/office/officeart/2005/8/layout/hProcess3"/>
  </dgm:cxnLst>
  <dgm:bg/>
  <dgm:whole/>
  <dgm:extLst>
    <a:ext uri="http://schemas.microsoft.com/office/drawing/2008/diagram">
      <dsp:dataModelExt xmlns:dsp="http://schemas.microsoft.com/office/drawing/2008/diagram" relId="rId18"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6_5" csCatId="accent6" phldr="1"/>
      <dgm:spPr/>
    </dgm:pt>
    <dgm:pt modelId="{1BBB3591-C92E-4F56-BACE-2F66702FC9B4}">
      <dgm:prSet phldrT="[Text]" custT="1"/>
      <dgm:spPr/>
      <dgm:t>
        <a:bodyPr/>
        <a:lstStyle/>
        <a:p>
          <a:r>
            <a:rPr lang="en-US" sz="800" b="1">
              <a:latin typeface="Bookman Old Style" pitchFamily="18" charset="0"/>
            </a:rPr>
            <a:t>Back to APCS (1)</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3640">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C5A3F425-FDD7-45DE-B573-C2EEE0716455}" type="presOf" srcId="{1BBB3591-C92E-4F56-BACE-2F66702FC9B4}" destId="{CC914B14-6E75-4299-8ACA-9CD7CA32331A}" srcOrd="0" destOrd="0" presId="urn:microsoft.com/office/officeart/2005/8/layout/hProcess3"/>
    <dgm:cxn modelId="{96DA4869-7D21-45FD-9CFE-261F413D06DE}"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0ED8EF87-B977-4F30-98AB-AAE255FF96FB}" type="presParOf" srcId="{126751D7-52FC-4B95-9514-D26DF65F4E6F}" destId="{BF66AD15-FF31-43F0-91E3-1271779E570E}" srcOrd="0" destOrd="0" presId="urn:microsoft.com/office/officeart/2005/8/layout/hProcess3"/>
    <dgm:cxn modelId="{FED8FB38-C665-4CB5-88CE-D9D2ABFFB7B5}" type="presParOf" srcId="{126751D7-52FC-4B95-9514-D26DF65F4E6F}" destId="{23721748-CF47-4237-AB2A-9579673F1C8E}" srcOrd="1" destOrd="0" presId="urn:microsoft.com/office/officeart/2005/8/layout/hProcess3"/>
    <dgm:cxn modelId="{5389BD4B-617E-4520-BB57-0C5D8A6A9556}" type="presParOf" srcId="{23721748-CF47-4237-AB2A-9579673F1C8E}" destId="{738207DE-2607-4A3F-8C7E-D28CB54EC545}" srcOrd="0" destOrd="0" presId="urn:microsoft.com/office/officeart/2005/8/layout/hProcess3"/>
    <dgm:cxn modelId="{85828248-B8EE-4A67-977E-1185F80828EC}" type="presParOf" srcId="{23721748-CF47-4237-AB2A-9579673F1C8E}" destId="{2BF5B933-C91E-4430-9DED-970BA14730FC}" srcOrd="1" destOrd="0" presId="urn:microsoft.com/office/officeart/2005/8/layout/hProcess3"/>
    <dgm:cxn modelId="{A457BC1C-293D-4342-AB14-E1AFE8CD327C}" type="presParOf" srcId="{2BF5B933-C91E-4430-9DED-970BA14730FC}" destId="{C5F1859B-1712-465A-86FE-AEB820DCCBBA}" srcOrd="0" destOrd="0" presId="urn:microsoft.com/office/officeart/2005/8/layout/hProcess3"/>
    <dgm:cxn modelId="{8E8F5D79-2B75-4C34-97B4-4DFA725C3787}" type="presParOf" srcId="{2BF5B933-C91E-4430-9DED-970BA14730FC}" destId="{CC914B14-6E75-4299-8ACA-9CD7CA32331A}" srcOrd="1" destOrd="0" presId="urn:microsoft.com/office/officeart/2005/8/layout/hProcess3"/>
    <dgm:cxn modelId="{EBE94BA6-CE43-4A64-BC12-2DD0459572DB}" type="presParOf" srcId="{2BF5B933-C91E-4430-9DED-970BA14730FC}" destId="{61AC15D6-1CEC-4F87-82FB-7C5D4276974E}" srcOrd="2" destOrd="0" presId="urn:microsoft.com/office/officeart/2005/8/layout/hProcess3"/>
    <dgm:cxn modelId="{FC8E8476-83D4-465F-BA30-E5106755AF24}" type="presParOf" srcId="{2BF5B933-C91E-4430-9DED-970BA14730FC}" destId="{71740DD9-6F87-4ABE-8FF1-D0CC6C90A433}" srcOrd="3" destOrd="0" presId="urn:microsoft.com/office/officeart/2005/8/layout/hProcess3"/>
    <dgm:cxn modelId="{3229773A-BF70-48FD-8261-3EEB2089870B}" type="presParOf" srcId="{23721748-CF47-4237-AB2A-9579673F1C8E}" destId="{9A4EC366-19C1-4A6D-BA66-F999401156CB}" srcOrd="2" destOrd="0" presId="urn:microsoft.com/office/officeart/2005/8/layout/hProcess3"/>
    <dgm:cxn modelId="{BDA35A17-70EA-4D86-834E-536A10BD8FDE}" type="presParOf" srcId="{23721748-CF47-4237-AB2A-9579673F1C8E}" destId="{ED7D97BD-2FE5-4822-B4C1-3077391E1565}" srcOrd="3" destOrd="0" presId="urn:microsoft.com/office/officeart/2005/8/layout/hProcess3"/>
    <dgm:cxn modelId="{8FA48AA2-6FDD-4365-901A-E5CDF8FD5E9D}"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3640">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35C0E17D-54EE-4F16-A913-32CCD45F0DA3}" type="presOf" srcId="{1BBB3591-C92E-4F56-BACE-2F66702FC9B4}" destId="{CC914B14-6E75-4299-8ACA-9CD7CA32331A}" srcOrd="0" destOrd="0" presId="urn:microsoft.com/office/officeart/2005/8/layout/hProcess3"/>
    <dgm:cxn modelId="{C91BABD9-E45E-4189-8087-52B085127239}"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2BB1B023-E502-4B8C-A4F9-65FC344CA57C}" type="presParOf" srcId="{126751D7-52FC-4B95-9514-D26DF65F4E6F}" destId="{BF66AD15-FF31-43F0-91E3-1271779E570E}" srcOrd="0" destOrd="0" presId="urn:microsoft.com/office/officeart/2005/8/layout/hProcess3"/>
    <dgm:cxn modelId="{1C55A1C6-6947-43A7-9CA8-823B0CD22473}" type="presParOf" srcId="{126751D7-52FC-4B95-9514-D26DF65F4E6F}" destId="{23721748-CF47-4237-AB2A-9579673F1C8E}" srcOrd="1" destOrd="0" presId="urn:microsoft.com/office/officeart/2005/8/layout/hProcess3"/>
    <dgm:cxn modelId="{26E78762-6DC8-4DEF-947B-FC0DB05F3755}" type="presParOf" srcId="{23721748-CF47-4237-AB2A-9579673F1C8E}" destId="{738207DE-2607-4A3F-8C7E-D28CB54EC545}" srcOrd="0" destOrd="0" presId="urn:microsoft.com/office/officeart/2005/8/layout/hProcess3"/>
    <dgm:cxn modelId="{ABA7469A-CAAD-4B29-82EB-5F7011294CF2}" type="presParOf" srcId="{23721748-CF47-4237-AB2A-9579673F1C8E}" destId="{2BF5B933-C91E-4430-9DED-970BA14730FC}" srcOrd="1" destOrd="0" presId="urn:microsoft.com/office/officeart/2005/8/layout/hProcess3"/>
    <dgm:cxn modelId="{6412D7D4-AA9D-4DA1-A727-352C5951B36B}" type="presParOf" srcId="{2BF5B933-C91E-4430-9DED-970BA14730FC}" destId="{C5F1859B-1712-465A-86FE-AEB820DCCBBA}" srcOrd="0" destOrd="0" presId="urn:microsoft.com/office/officeart/2005/8/layout/hProcess3"/>
    <dgm:cxn modelId="{5ADBB65B-F5ED-4936-BAFA-21FCDA222141}" type="presParOf" srcId="{2BF5B933-C91E-4430-9DED-970BA14730FC}" destId="{CC914B14-6E75-4299-8ACA-9CD7CA32331A}" srcOrd="1" destOrd="0" presId="urn:microsoft.com/office/officeart/2005/8/layout/hProcess3"/>
    <dgm:cxn modelId="{96ABBD3E-1112-4BC9-9F05-C826230B615C}" type="presParOf" srcId="{2BF5B933-C91E-4430-9DED-970BA14730FC}" destId="{61AC15D6-1CEC-4F87-82FB-7C5D4276974E}" srcOrd="2" destOrd="0" presId="urn:microsoft.com/office/officeart/2005/8/layout/hProcess3"/>
    <dgm:cxn modelId="{77035F3A-4251-41C5-9822-E2803C1F7607}" type="presParOf" srcId="{2BF5B933-C91E-4430-9DED-970BA14730FC}" destId="{71740DD9-6F87-4ABE-8FF1-D0CC6C90A433}" srcOrd="3" destOrd="0" presId="urn:microsoft.com/office/officeart/2005/8/layout/hProcess3"/>
    <dgm:cxn modelId="{30F34B48-70D0-473B-93D1-63C00D063A50}" type="presParOf" srcId="{23721748-CF47-4237-AB2A-9579673F1C8E}" destId="{9A4EC366-19C1-4A6D-BA66-F999401156CB}" srcOrd="2" destOrd="0" presId="urn:microsoft.com/office/officeart/2005/8/layout/hProcess3"/>
    <dgm:cxn modelId="{FF00CB68-6BF2-4FB7-9518-C07E7C104325}" type="presParOf" srcId="{23721748-CF47-4237-AB2A-9579673F1C8E}" destId="{ED7D97BD-2FE5-4822-B4C1-3077391E1565}" srcOrd="3" destOrd="0" presId="urn:microsoft.com/office/officeart/2005/8/layout/hProcess3"/>
    <dgm:cxn modelId="{70B1181B-02CA-40F2-9FA5-D5A0882EE307}"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 </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3640">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4344DE5C-16AB-4649-B57B-4F5EA436A014}" type="presOf" srcId="{1BBB3591-C92E-4F56-BACE-2F66702FC9B4}" destId="{CC914B14-6E75-4299-8ACA-9CD7CA32331A}" srcOrd="0" destOrd="0" presId="urn:microsoft.com/office/officeart/2005/8/layout/hProcess3"/>
    <dgm:cxn modelId="{B24F7279-AE56-4578-957C-0BBDAA53905C}" type="presOf" srcId="{61B365B8-C965-4040-A4F3-2D68566E5A1B}" destId="{126751D7-52FC-4B95-9514-D26DF65F4E6F}"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8BA58935-BFEF-435E-89DB-4053124DE558}" type="presParOf" srcId="{126751D7-52FC-4B95-9514-D26DF65F4E6F}" destId="{BF66AD15-FF31-43F0-91E3-1271779E570E}" srcOrd="0" destOrd="0" presId="urn:microsoft.com/office/officeart/2005/8/layout/hProcess3"/>
    <dgm:cxn modelId="{CBD3A1CF-2950-44D2-9E13-B3F8BBCAE72E}" type="presParOf" srcId="{126751D7-52FC-4B95-9514-D26DF65F4E6F}" destId="{23721748-CF47-4237-AB2A-9579673F1C8E}" srcOrd="1" destOrd="0" presId="urn:microsoft.com/office/officeart/2005/8/layout/hProcess3"/>
    <dgm:cxn modelId="{DA2133E1-CE53-42A5-94D2-256E7D41D002}" type="presParOf" srcId="{23721748-CF47-4237-AB2A-9579673F1C8E}" destId="{738207DE-2607-4A3F-8C7E-D28CB54EC545}" srcOrd="0" destOrd="0" presId="urn:microsoft.com/office/officeart/2005/8/layout/hProcess3"/>
    <dgm:cxn modelId="{E6390A43-8100-4D3C-B15F-79F35F33B9FA}" type="presParOf" srcId="{23721748-CF47-4237-AB2A-9579673F1C8E}" destId="{2BF5B933-C91E-4430-9DED-970BA14730FC}" srcOrd="1" destOrd="0" presId="urn:microsoft.com/office/officeart/2005/8/layout/hProcess3"/>
    <dgm:cxn modelId="{13816799-C3EF-4DAA-92A8-44CCED6BDD9C}" type="presParOf" srcId="{2BF5B933-C91E-4430-9DED-970BA14730FC}" destId="{C5F1859B-1712-465A-86FE-AEB820DCCBBA}" srcOrd="0" destOrd="0" presId="urn:microsoft.com/office/officeart/2005/8/layout/hProcess3"/>
    <dgm:cxn modelId="{B4A171B9-E6A5-4C7F-8CAC-4D4C289415A6}" type="presParOf" srcId="{2BF5B933-C91E-4430-9DED-970BA14730FC}" destId="{CC914B14-6E75-4299-8ACA-9CD7CA32331A}" srcOrd="1" destOrd="0" presId="urn:microsoft.com/office/officeart/2005/8/layout/hProcess3"/>
    <dgm:cxn modelId="{4B36E061-4B39-4CB6-BB74-49259C0BC3B5}" type="presParOf" srcId="{2BF5B933-C91E-4430-9DED-970BA14730FC}" destId="{61AC15D6-1CEC-4F87-82FB-7C5D4276974E}" srcOrd="2" destOrd="0" presId="urn:microsoft.com/office/officeart/2005/8/layout/hProcess3"/>
    <dgm:cxn modelId="{61E285C4-C29E-469E-8D1E-EB758644768E}" type="presParOf" srcId="{2BF5B933-C91E-4430-9DED-970BA14730FC}" destId="{71740DD9-6F87-4ABE-8FF1-D0CC6C90A433}" srcOrd="3" destOrd="0" presId="urn:microsoft.com/office/officeart/2005/8/layout/hProcess3"/>
    <dgm:cxn modelId="{BA37C393-20F2-4573-B36F-AAFB1B39AC14}" type="presParOf" srcId="{23721748-CF47-4237-AB2A-9579673F1C8E}" destId="{9A4EC366-19C1-4A6D-BA66-F999401156CB}" srcOrd="2" destOrd="0" presId="urn:microsoft.com/office/officeart/2005/8/layout/hProcess3"/>
    <dgm:cxn modelId="{8C99988C-7540-4F2C-9F13-0E953B7C4085}" type="presParOf" srcId="{23721748-CF47-4237-AB2A-9579673F1C8E}" destId="{ED7D97BD-2FE5-4822-B4C1-3077391E1565}" srcOrd="3" destOrd="0" presId="urn:microsoft.com/office/officeart/2005/8/layout/hProcess3"/>
    <dgm:cxn modelId="{9795A748-6D10-44DC-BDE3-68F4DC93291F}"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 </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3640">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627F9131-0EA7-4416-AA7F-C94F8CA5F4F6}" type="presOf" srcId="{61B365B8-C965-4040-A4F3-2D68566E5A1B}" destId="{126751D7-52FC-4B95-9514-D26DF65F4E6F}" srcOrd="0" destOrd="0" presId="urn:microsoft.com/office/officeart/2005/8/layout/hProcess3"/>
    <dgm:cxn modelId="{12DA774C-0E76-4EB4-A2A2-133B73586D25}" type="presOf" srcId="{1BBB3591-C92E-4F56-BACE-2F66702FC9B4}" destId="{CC914B14-6E75-4299-8ACA-9CD7CA32331A}"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4DFAB263-4E3D-4095-A9DF-6BED43325C19}" type="presParOf" srcId="{126751D7-52FC-4B95-9514-D26DF65F4E6F}" destId="{BF66AD15-FF31-43F0-91E3-1271779E570E}" srcOrd="0" destOrd="0" presId="urn:microsoft.com/office/officeart/2005/8/layout/hProcess3"/>
    <dgm:cxn modelId="{1B7AC454-BDB1-486C-A910-BF053B5D7EBB}" type="presParOf" srcId="{126751D7-52FC-4B95-9514-D26DF65F4E6F}" destId="{23721748-CF47-4237-AB2A-9579673F1C8E}" srcOrd="1" destOrd="0" presId="urn:microsoft.com/office/officeart/2005/8/layout/hProcess3"/>
    <dgm:cxn modelId="{AA61F2F4-B40D-4844-AB83-EFA9D9F73ABD}" type="presParOf" srcId="{23721748-CF47-4237-AB2A-9579673F1C8E}" destId="{738207DE-2607-4A3F-8C7E-D28CB54EC545}" srcOrd="0" destOrd="0" presId="urn:microsoft.com/office/officeart/2005/8/layout/hProcess3"/>
    <dgm:cxn modelId="{4C75B4FF-0AC7-44E1-9AC6-F6DAC2C91DDF}" type="presParOf" srcId="{23721748-CF47-4237-AB2A-9579673F1C8E}" destId="{2BF5B933-C91E-4430-9DED-970BA14730FC}" srcOrd="1" destOrd="0" presId="urn:microsoft.com/office/officeart/2005/8/layout/hProcess3"/>
    <dgm:cxn modelId="{036DE916-D920-4C91-BD5F-75215B0880C3}" type="presParOf" srcId="{2BF5B933-C91E-4430-9DED-970BA14730FC}" destId="{C5F1859B-1712-465A-86FE-AEB820DCCBBA}" srcOrd="0" destOrd="0" presId="urn:microsoft.com/office/officeart/2005/8/layout/hProcess3"/>
    <dgm:cxn modelId="{E033FD1F-0AAE-40F0-8249-FEA695C9F89E}" type="presParOf" srcId="{2BF5B933-C91E-4430-9DED-970BA14730FC}" destId="{CC914B14-6E75-4299-8ACA-9CD7CA32331A}" srcOrd="1" destOrd="0" presId="urn:microsoft.com/office/officeart/2005/8/layout/hProcess3"/>
    <dgm:cxn modelId="{E75ABC0D-C1EF-4BAB-AA08-5BF4E9D264F9}" type="presParOf" srcId="{2BF5B933-C91E-4430-9DED-970BA14730FC}" destId="{61AC15D6-1CEC-4F87-82FB-7C5D4276974E}" srcOrd="2" destOrd="0" presId="urn:microsoft.com/office/officeart/2005/8/layout/hProcess3"/>
    <dgm:cxn modelId="{D5748C04-DEE4-4CCC-A407-236573C26185}" type="presParOf" srcId="{2BF5B933-C91E-4430-9DED-970BA14730FC}" destId="{71740DD9-6F87-4ABE-8FF1-D0CC6C90A433}" srcOrd="3" destOrd="0" presId="urn:microsoft.com/office/officeart/2005/8/layout/hProcess3"/>
    <dgm:cxn modelId="{FED8D2A6-82A6-49E1-A8DF-82126E219467}" type="presParOf" srcId="{23721748-CF47-4237-AB2A-9579673F1C8E}" destId="{9A4EC366-19C1-4A6D-BA66-F999401156CB}" srcOrd="2" destOrd="0" presId="urn:microsoft.com/office/officeart/2005/8/layout/hProcess3"/>
    <dgm:cxn modelId="{3224D4CC-3422-4D49-A345-522A1D3EDA39}" type="presParOf" srcId="{23721748-CF47-4237-AB2A-9579673F1C8E}" destId="{ED7D97BD-2FE5-4822-B4C1-3077391E1565}" srcOrd="3" destOrd="0" presId="urn:microsoft.com/office/officeart/2005/8/layout/hProcess3"/>
    <dgm:cxn modelId="{6CEFC4FE-FBA7-400F-8FC1-55AD75455D2B}"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25114" custLinFactNeighborY="-13384">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A7CFD4D7-2900-4543-8403-A1192B228EC2}" type="presOf" srcId="{61B365B8-C965-4040-A4F3-2D68566E5A1B}" destId="{126751D7-52FC-4B95-9514-D26DF65F4E6F}" srcOrd="0" destOrd="0" presId="urn:microsoft.com/office/officeart/2005/8/layout/hProcess3"/>
    <dgm:cxn modelId="{5205DFEF-74D0-4514-AEC7-072B1113869E}" type="presOf" srcId="{1BBB3591-C92E-4F56-BACE-2F66702FC9B4}" destId="{CC914B14-6E75-4299-8ACA-9CD7CA32331A}"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2ED7457D-F6DE-49E1-BE51-3376AF3B14A9}" type="presParOf" srcId="{126751D7-52FC-4B95-9514-D26DF65F4E6F}" destId="{BF66AD15-FF31-43F0-91E3-1271779E570E}" srcOrd="0" destOrd="0" presId="urn:microsoft.com/office/officeart/2005/8/layout/hProcess3"/>
    <dgm:cxn modelId="{84E6D799-CE12-4F1E-ADF3-076FE847D5D3}" type="presParOf" srcId="{126751D7-52FC-4B95-9514-D26DF65F4E6F}" destId="{23721748-CF47-4237-AB2A-9579673F1C8E}" srcOrd="1" destOrd="0" presId="urn:microsoft.com/office/officeart/2005/8/layout/hProcess3"/>
    <dgm:cxn modelId="{165D3DA9-F373-4617-8A7B-DB6FE0B046E9}" type="presParOf" srcId="{23721748-CF47-4237-AB2A-9579673F1C8E}" destId="{738207DE-2607-4A3F-8C7E-D28CB54EC545}" srcOrd="0" destOrd="0" presId="urn:microsoft.com/office/officeart/2005/8/layout/hProcess3"/>
    <dgm:cxn modelId="{EB0B88B3-2909-41E6-8D06-2990CBF6DFA5}" type="presParOf" srcId="{23721748-CF47-4237-AB2A-9579673F1C8E}" destId="{2BF5B933-C91E-4430-9DED-970BA14730FC}" srcOrd="1" destOrd="0" presId="urn:microsoft.com/office/officeart/2005/8/layout/hProcess3"/>
    <dgm:cxn modelId="{D6ED51DB-2EF2-4029-A295-E0290999A885}" type="presParOf" srcId="{2BF5B933-C91E-4430-9DED-970BA14730FC}" destId="{C5F1859B-1712-465A-86FE-AEB820DCCBBA}" srcOrd="0" destOrd="0" presId="urn:microsoft.com/office/officeart/2005/8/layout/hProcess3"/>
    <dgm:cxn modelId="{3CBD0612-9CC1-4F11-95C3-BF246DC00596}" type="presParOf" srcId="{2BF5B933-C91E-4430-9DED-970BA14730FC}" destId="{CC914B14-6E75-4299-8ACA-9CD7CA32331A}" srcOrd="1" destOrd="0" presId="urn:microsoft.com/office/officeart/2005/8/layout/hProcess3"/>
    <dgm:cxn modelId="{F0D727B1-EE8F-4D24-88E4-AC0F40D559F4}" type="presParOf" srcId="{2BF5B933-C91E-4430-9DED-970BA14730FC}" destId="{61AC15D6-1CEC-4F87-82FB-7C5D4276974E}" srcOrd="2" destOrd="0" presId="urn:microsoft.com/office/officeart/2005/8/layout/hProcess3"/>
    <dgm:cxn modelId="{E073CA39-48E8-4966-9109-B12588B3C3AF}" type="presParOf" srcId="{2BF5B933-C91E-4430-9DED-970BA14730FC}" destId="{71740DD9-6F87-4ABE-8FF1-D0CC6C90A433}" srcOrd="3" destOrd="0" presId="urn:microsoft.com/office/officeart/2005/8/layout/hProcess3"/>
    <dgm:cxn modelId="{EB7F0E2A-A7AF-452C-86D7-45D35B95CA1F}" type="presParOf" srcId="{23721748-CF47-4237-AB2A-9579673F1C8E}" destId="{9A4EC366-19C1-4A6D-BA66-F999401156CB}" srcOrd="2" destOrd="0" presId="urn:microsoft.com/office/officeart/2005/8/layout/hProcess3"/>
    <dgm:cxn modelId="{B7378C70-80A8-4AA1-8D09-F04F7978522C}" type="presParOf" srcId="{23721748-CF47-4237-AB2A-9579673F1C8E}" destId="{ED7D97BD-2FE5-4822-B4C1-3077391E1565}" srcOrd="3" destOrd="0" presId="urn:microsoft.com/office/officeart/2005/8/layout/hProcess3"/>
    <dgm:cxn modelId="{A1C27327-2652-4A5B-BB3B-0268CC0164B0}"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61B365B8-C965-4040-A4F3-2D68566E5A1B}" type="doc">
      <dgm:prSet loTypeId="urn:microsoft.com/office/officeart/2005/8/layout/hProcess3" loCatId="process" qsTypeId="urn:microsoft.com/office/officeart/2005/8/quickstyle/3d1" qsCatId="3D" csTypeId="urn:microsoft.com/office/officeart/2005/8/colors/accent1_2" csCatId="accent1" phldr="1"/>
      <dgm:spPr/>
    </dgm:pt>
    <dgm:pt modelId="{1BBB3591-C92E-4F56-BACE-2F66702FC9B4}">
      <dgm:prSet phldrT="[Text]" custT="1"/>
      <dgm:spPr/>
      <dgm:t>
        <a:bodyPr/>
        <a:lstStyle/>
        <a:p>
          <a:r>
            <a:rPr lang="en-US" sz="800" b="1">
              <a:latin typeface="Bookman Old Style" pitchFamily="18" charset="0"/>
            </a:rPr>
            <a:t>Back to APCS</a:t>
          </a:r>
        </a:p>
      </dgm:t>
    </dgm:pt>
    <dgm:pt modelId="{43FAB7BD-B711-43C8-A715-2D938611513A}" type="parTrans" cxnId="{BD130EF9-E000-4DE1-8299-F1451ACD31A2}">
      <dgm:prSet/>
      <dgm:spPr/>
      <dgm:t>
        <a:bodyPr/>
        <a:lstStyle/>
        <a:p>
          <a:endParaRPr lang="en-US"/>
        </a:p>
      </dgm:t>
    </dgm:pt>
    <dgm:pt modelId="{80BDC35F-6A9F-4E7C-8495-EAE5A05C8ADA}" type="sibTrans" cxnId="{BD130EF9-E000-4DE1-8299-F1451ACD31A2}">
      <dgm:prSet/>
      <dgm:spPr/>
      <dgm:t>
        <a:bodyPr/>
        <a:lstStyle/>
        <a:p>
          <a:endParaRPr lang="en-US"/>
        </a:p>
      </dgm:t>
    </dgm:pt>
    <dgm:pt modelId="{126751D7-52FC-4B95-9514-D26DF65F4E6F}" type="pres">
      <dgm:prSet presAssocID="{61B365B8-C965-4040-A4F3-2D68566E5A1B}" presName="Name0" presStyleCnt="0">
        <dgm:presLayoutVars>
          <dgm:dir val="rev"/>
          <dgm:animLvl val="lvl"/>
          <dgm:resizeHandles val="exact"/>
        </dgm:presLayoutVars>
      </dgm:prSet>
      <dgm:spPr/>
    </dgm:pt>
    <dgm:pt modelId="{BF66AD15-FF31-43F0-91E3-1271779E570E}" type="pres">
      <dgm:prSet presAssocID="{61B365B8-C965-4040-A4F3-2D68566E5A1B}" presName="dummy" presStyleCnt="0"/>
      <dgm:spPr/>
    </dgm:pt>
    <dgm:pt modelId="{23721748-CF47-4237-AB2A-9579673F1C8E}" type="pres">
      <dgm:prSet presAssocID="{61B365B8-C965-4040-A4F3-2D68566E5A1B}" presName="linH" presStyleCnt="0"/>
      <dgm:spPr/>
    </dgm:pt>
    <dgm:pt modelId="{738207DE-2607-4A3F-8C7E-D28CB54EC545}" type="pres">
      <dgm:prSet presAssocID="{61B365B8-C965-4040-A4F3-2D68566E5A1B}" presName="padding1" presStyleCnt="0"/>
      <dgm:spPr/>
    </dgm:pt>
    <dgm:pt modelId="{2BF5B933-C91E-4430-9DED-970BA14730FC}" type="pres">
      <dgm:prSet presAssocID="{1BBB3591-C92E-4F56-BACE-2F66702FC9B4}" presName="linV" presStyleCnt="0"/>
      <dgm:spPr/>
    </dgm:pt>
    <dgm:pt modelId="{C5F1859B-1712-465A-86FE-AEB820DCCBBA}" type="pres">
      <dgm:prSet presAssocID="{1BBB3591-C92E-4F56-BACE-2F66702FC9B4}" presName="spVertical1" presStyleCnt="0"/>
      <dgm:spPr/>
    </dgm:pt>
    <dgm:pt modelId="{CC914B14-6E75-4299-8ACA-9CD7CA32331A}" type="pres">
      <dgm:prSet presAssocID="{1BBB3591-C92E-4F56-BACE-2F66702FC9B4}" presName="parTx" presStyleLbl="revTx" presStyleIdx="0" presStyleCnt="1" custScaleX="596215" custLinFactNeighborX="30809" custLinFactNeighborY="-29705">
        <dgm:presLayoutVars>
          <dgm:chMax val="0"/>
          <dgm:chPref val="0"/>
          <dgm:bulletEnabled val="1"/>
        </dgm:presLayoutVars>
      </dgm:prSet>
      <dgm:spPr/>
    </dgm:pt>
    <dgm:pt modelId="{61AC15D6-1CEC-4F87-82FB-7C5D4276974E}" type="pres">
      <dgm:prSet presAssocID="{1BBB3591-C92E-4F56-BACE-2F66702FC9B4}" presName="spVertical2" presStyleCnt="0"/>
      <dgm:spPr/>
    </dgm:pt>
    <dgm:pt modelId="{71740DD9-6F87-4ABE-8FF1-D0CC6C90A433}" type="pres">
      <dgm:prSet presAssocID="{1BBB3591-C92E-4F56-BACE-2F66702FC9B4}" presName="spVertical3" presStyleCnt="0"/>
      <dgm:spPr/>
    </dgm:pt>
    <dgm:pt modelId="{9A4EC366-19C1-4A6D-BA66-F999401156CB}" type="pres">
      <dgm:prSet presAssocID="{61B365B8-C965-4040-A4F3-2D68566E5A1B}" presName="padding2" presStyleCnt="0"/>
      <dgm:spPr/>
    </dgm:pt>
    <dgm:pt modelId="{ED7D97BD-2FE5-4822-B4C1-3077391E1565}" type="pres">
      <dgm:prSet presAssocID="{61B365B8-C965-4040-A4F3-2D68566E5A1B}" presName="negArrow" presStyleCnt="0"/>
      <dgm:spPr/>
    </dgm:pt>
    <dgm:pt modelId="{C45FD131-09FC-43E9-B6B5-D5A78B472DB9}" type="pres">
      <dgm:prSet presAssocID="{61B365B8-C965-4040-A4F3-2D68566E5A1B}" presName="backgroundArrow" presStyleLbl="node1" presStyleIdx="0" presStyleCnt="1"/>
      <dgm:spPr/>
    </dgm:pt>
  </dgm:ptLst>
  <dgm:cxnLst>
    <dgm:cxn modelId="{DE004F34-AAF2-413A-BA45-2D7DFE131716}" type="presOf" srcId="{61B365B8-C965-4040-A4F3-2D68566E5A1B}" destId="{126751D7-52FC-4B95-9514-D26DF65F4E6F}" srcOrd="0" destOrd="0" presId="urn:microsoft.com/office/officeart/2005/8/layout/hProcess3"/>
    <dgm:cxn modelId="{9B0D11AA-7D39-4E57-BCCF-8A50EA46D067}" type="presOf" srcId="{1BBB3591-C92E-4F56-BACE-2F66702FC9B4}" destId="{CC914B14-6E75-4299-8ACA-9CD7CA32331A}" srcOrd="0" destOrd="0" presId="urn:microsoft.com/office/officeart/2005/8/layout/hProcess3"/>
    <dgm:cxn modelId="{BD130EF9-E000-4DE1-8299-F1451ACD31A2}" srcId="{61B365B8-C965-4040-A4F3-2D68566E5A1B}" destId="{1BBB3591-C92E-4F56-BACE-2F66702FC9B4}" srcOrd="0" destOrd="0" parTransId="{43FAB7BD-B711-43C8-A715-2D938611513A}" sibTransId="{80BDC35F-6A9F-4E7C-8495-EAE5A05C8ADA}"/>
    <dgm:cxn modelId="{AE805EEB-D659-438D-AC91-7C794A866173}" type="presParOf" srcId="{126751D7-52FC-4B95-9514-D26DF65F4E6F}" destId="{BF66AD15-FF31-43F0-91E3-1271779E570E}" srcOrd="0" destOrd="0" presId="urn:microsoft.com/office/officeart/2005/8/layout/hProcess3"/>
    <dgm:cxn modelId="{7FBB1D31-701A-4D9E-A3B4-DB5049A716F0}" type="presParOf" srcId="{126751D7-52FC-4B95-9514-D26DF65F4E6F}" destId="{23721748-CF47-4237-AB2A-9579673F1C8E}" srcOrd="1" destOrd="0" presId="urn:microsoft.com/office/officeart/2005/8/layout/hProcess3"/>
    <dgm:cxn modelId="{8143F66A-B60F-481A-A005-77A4A67F7AC6}" type="presParOf" srcId="{23721748-CF47-4237-AB2A-9579673F1C8E}" destId="{738207DE-2607-4A3F-8C7E-D28CB54EC545}" srcOrd="0" destOrd="0" presId="urn:microsoft.com/office/officeart/2005/8/layout/hProcess3"/>
    <dgm:cxn modelId="{4263C86B-547E-4EA5-A72F-727AACC2D395}" type="presParOf" srcId="{23721748-CF47-4237-AB2A-9579673F1C8E}" destId="{2BF5B933-C91E-4430-9DED-970BA14730FC}" srcOrd="1" destOrd="0" presId="urn:microsoft.com/office/officeart/2005/8/layout/hProcess3"/>
    <dgm:cxn modelId="{7D6A0EA4-3712-46B1-8512-F3B99A11E70C}" type="presParOf" srcId="{2BF5B933-C91E-4430-9DED-970BA14730FC}" destId="{C5F1859B-1712-465A-86FE-AEB820DCCBBA}" srcOrd="0" destOrd="0" presId="urn:microsoft.com/office/officeart/2005/8/layout/hProcess3"/>
    <dgm:cxn modelId="{A96A46AF-1C35-4B78-99B7-9B2E34EE3097}" type="presParOf" srcId="{2BF5B933-C91E-4430-9DED-970BA14730FC}" destId="{CC914B14-6E75-4299-8ACA-9CD7CA32331A}" srcOrd="1" destOrd="0" presId="urn:microsoft.com/office/officeart/2005/8/layout/hProcess3"/>
    <dgm:cxn modelId="{9E8AC180-C8B0-41BC-AB53-6C1A9E87A8EA}" type="presParOf" srcId="{2BF5B933-C91E-4430-9DED-970BA14730FC}" destId="{61AC15D6-1CEC-4F87-82FB-7C5D4276974E}" srcOrd="2" destOrd="0" presId="urn:microsoft.com/office/officeart/2005/8/layout/hProcess3"/>
    <dgm:cxn modelId="{C5A00B18-BEDD-4C37-BC6E-12B0D1392CB5}" type="presParOf" srcId="{2BF5B933-C91E-4430-9DED-970BA14730FC}" destId="{71740DD9-6F87-4ABE-8FF1-D0CC6C90A433}" srcOrd="3" destOrd="0" presId="urn:microsoft.com/office/officeart/2005/8/layout/hProcess3"/>
    <dgm:cxn modelId="{B54A5D1D-9AF3-47CF-A27D-F8D92729C821}" type="presParOf" srcId="{23721748-CF47-4237-AB2A-9579673F1C8E}" destId="{9A4EC366-19C1-4A6D-BA66-F999401156CB}" srcOrd="2" destOrd="0" presId="urn:microsoft.com/office/officeart/2005/8/layout/hProcess3"/>
    <dgm:cxn modelId="{1A763637-72D4-4BC3-9B6F-E2F103390034}" type="presParOf" srcId="{23721748-CF47-4237-AB2A-9579673F1C8E}" destId="{ED7D97BD-2FE5-4822-B4C1-3077391E1565}" srcOrd="3" destOrd="0" presId="urn:microsoft.com/office/officeart/2005/8/layout/hProcess3"/>
    <dgm:cxn modelId="{0D8763BB-75B3-4C88-90B2-2E050883DA53}" type="presParOf" srcId="{23721748-CF47-4237-AB2A-9579673F1C8E}" destId="{C45FD131-09FC-43E9-B6B5-D5A78B472DB9}" srcOrd="4" destOrd="0" presId="urn:microsoft.com/office/officeart/2005/8/layout/hProcess3"/>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3336" y="220"/>
          <a:ext cx="2272976" cy="360000"/>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98923" y="109296"/>
          <a:ext cx="1995056" cy="18869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Calculate Age Nearest Birthday</a:t>
          </a:r>
        </a:p>
      </dsp:txBody>
      <dsp:txXfrm>
        <a:off x="98923" y="109296"/>
        <a:ext cx="1995056" cy="188691"/>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2947" y="0"/>
          <a:ext cx="1203779" cy="33655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30031" y="100269"/>
          <a:ext cx="1023299" cy="1682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a:t>
          </a:r>
        </a:p>
      </dsp:txBody>
      <dsp:txXfrm>
        <a:off x="130031" y="100269"/>
        <a:ext cx="1023299" cy="168243"/>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839" y="62"/>
          <a:ext cx="1253620" cy="360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45378" y="118290"/>
          <a:ext cx="1052894" cy="19837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a:t>
          </a:r>
        </a:p>
      </dsp:txBody>
      <dsp:txXfrm>
        <a:off x="145378" y="118290"/>
        <a:ext cx="1052894" cy="198374"/>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0" y="30293"/>
          <a:ext cx="1374776" cy="576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95695" y="179535"/>
          <a:ext cx="1126635" cy="28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ctr" anchorCtr="0">
          <a:noAutofit/>
        </a:bodyPr>
        <a:lstStyle/>
        <a:p>
          <a:pPr marL="0" lvl="0" indent="0" algn="ctr" defTabSz="400050">
            <a:lnSpc>
              <a:spcPct val="90000"/>
            </a:lnSpc>
            <a:spcBef>
              <a:spcPct val="0"/>
            </a:spcBef>
            <a:spcAft>
              <a:spcPct val="35000"/>
            </a:spcAft>
            <a:buNone/>
          </a:pPr>
          <a:r>
            <a:rPr lang="en-US" sz="900" b="1" kern="1200">
              <a:latin typeface="Bookman Old Style" pitchFamily="18" charset="0"/>
            </a:rPr>
            <a:t>Back to APCS</a:t>
          </a:r>
        </a:p>
      </dsp:txBody>
      <dsp:txXfrm>
        <a:off x="195695" y="179535"/>
        <a:ext cx="1126635" cy="28800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2150" y="0"/>
          <a:ext cx="878348" cy="304800"/>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41039" y="87996"/>
          <a:ext cx="731317" cy="15222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See Detail</a:t>
          </a:r>
        </a:p>
      </dsp:txBody>
      <dsp:txXfrm>
        <a:off x="41039" y="87996"/>
        <a:ext cx="731317" cy="15222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B94457B-A27D-40ED-AD26-7E860D26D6E4}">
      <dsp:nvSpPr>
        <dsp:cNvPr id="0" name=""/>
        <dsp:cNvSpPr/>
      </dsp:nvSpPr>
      <dsp:spPr>
        <a:xfrm>
          <a:off x="3450" y="37"/>
          <a:ext cx="1409150" cy="360000"/>
        </a:xfrm>
        <a:prstGeom prst="righ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9CAB859F-86FD-41E1-AC7E-8D609FCDE319}">
      <dsp:nvSpPr>
        <dsp:cNvPr id="0" name=""/>
        <dsp:cNvSpPr/>
      </dsp:nvSpPr>
      <dsp:spPr>
        <a:xfrm>
          <a:off x="0" y="0"/>
          <a:ext cx="1198603" cy="19443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ctr" anchorCtr="0">
          <a:noAutofit/>
        </a:bodyPr>
        <a:lstStyle/>
        <a:p>
          <a:pPr marL="0" lvl="0" indent="0" algn="ctr" defTabSz="400050">
            <a:lnSpc>
              <a:spcPct val="90000"/>
            </a:lnSpc>
            <a:spcBef>
              <a:spcPct val="0"/>
            </a:spcBef>
            <a:spcAft>
              <a:spcPct val="35000"/>
            </a:spcAft>
            <a:buNone/>
          </a:pPr>
          <a:endParaRPr lang="en-US" sz="900" b="1" kern="1200">
            <a:latin typeface="Bookman Old Style" pitchFamily="18" charset="0"/>
          </a:endParaRPr>
        </a:p>
        <a:p>
          <a:pPr marL="0" lvl="0" indent="0" algn="ctr" defTabSz="400050">
            <a:lnSpc>
              <a:spcPct val="90000"/>
            </a:lnSpc>
            <a:spcBef>
              <a:spcPct val="0"/>
            </a:spcBef>
            <a:spcAft>
              <a:spcPct val="35000"/>
            </a:spcAft>
            <a:buNone/>
          </a:pPr>
          <a:r>
            <a:rPr lang="en-US" sz="900" b="1" kern="1200">
              <a:latin typeface="Bookman Old Style" pitchFamily="18" charset="0"/>
            </a:rPr>
            <a:t>See Illustration</a:t>
          </a:r>
        </a:p>
      </dsp:txBody>
      <dsp:txXfrm>
        <a:off x="0" y="0"/>
        <a:ext cx="1198603" cy="19443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770" y="188"/>
          <a:ext cx="1206134" cy="360000"/>
        </a:xfrm>
        <a:prstGeom prst="leftArrow">
          <a:avLst/>
        </a:prstGeom>
        <a:gradFill rotWithShape="0">
          <a:gsLst>
            <a:gs pos="0">
              <a:schemeClr val="accent6">
                <a:alpha val="90000"/>
                <a:hueOff val="0"/>
                <a:satOff val="0"/>
                <a:lumOff val="0"/>
                <a:alphaOff val="0"/>
                <a:shade val="51000"/>
                <a:satMod val="130000"/>
              </a:schemeClr>
            </a:gs>
            <a:gs pos="80000">
              <a:schemeClr val="accent6">
                <a:alpha val="90000"/>
                <a:hueOff val="0"/>
                <a:satOff val="0"/>
                <a:lumOff val="0"/>
                <a:alphaOff val="0"/>
                <a:shade val="93000"/>
                <a:satMod val="130000"/>
              </a:schemeClr>
            </a:gs>
            <a:gs pos="100000">
              <a:schemeClr val="accent6">
                <a:alpha val="9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47596" y="97162"/>
          <a:ext cx="1014767" cy="1871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 (1)</a:t>
          </a:r>
        </a:p>
      </dsp:txBody>
      <dsp:txXfrm>
        <a:off x="147596" y="97162"/>
        <a:ext cx="1014767" cy="187136"/>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770" y="214"/>
          <a:ext cx="1206134" cy="360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49088" y="98820"/>
          <a:ext cx="1013011" cy="1902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a:t>
          </a:r>
        </a:p>
      </dsp:txBody>
      <dsp:txXfrm>
        <a:off x="149088" y="98820"/>
        <a:ext cx="1013011" cy="190285"/>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2104" y="73"/>
          <a:ext cx="1434065" cy="360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64818" y="103688"/>
          <a:ext cx="1219059" cy="19995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 </a:t>
          </a:r>
        </a:p>
      </dsp:txBody>
      <dsp:txXfrm>
        <a:off x="164818" y="103688"/>
        <a:ext cx="1219059" cy="199951"/>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770" y="0"/>
          <a:ext cx="1206134" cy="346075"/>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40836" y="89631"/>
          <a:ext cx="1021790" cy="1729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 </a:t>
          </a:r>
        </a:p>
      </dsp:txBody>
      <dsp:txXfrm>
        <a:off x="140836" y="89631"/>
        <a:ext cx="1021790" cy="172966"/>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770" y="51"/>
          <a:ext cx="1206134" cy="360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56157" y="97656"/>
          <a:ext cx="997210" cy="22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a:t>
          </a:r>
        </a:p>
      </dsp:txBody>
      <dsp:txXfrm>
        <a:off x="156157" y="97656"/>
        <a:ext cx="997210" cy="225373"/>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5FD131-09FC-43E9-B6B5-D5A78B472DB9}">
      <dsp:nvSpPr>
        <dsp:cNvPr id="0" name=""/>
        <dsp:cNvSpPr/>
      </dsp:nvSpPr>
      <dsp:spPr>
        <a:xfrm>
          <a:off x="1770" y="51"/>
          <a:ext cx="1206134" cy="360000"/>
        </a:xfrm>
        <a:prstGeom prst="leftArrow">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CC914B14-6E75-4299-8ACA-9CD7CA32331A}">
      <dsp:nvSpPr>
        <dsp:cNvPr id="0" name=""/>
        <dsp:cNvSpPr/>
      </dsp:nvSpPr>
      <dsp:spPr>
        <a:xfrm>
          <a:off x="165683" y="79264"/>
          <a:ext cx="997210" cy="22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81280" rIns="0" bIns="81280" numCol="1" spcCol="1270" anchor="ctr" anchorCtr="0">
          <a:noAutofit/>
        </a:bodyPr>
        <a:lstStyle/>
        <a:p>
          <a:pPr marL="0" lvl="0" indent="0" algn="ctr" defTabSz="355600">
            <a:lnSpc>
              <a:spcPct val="90000"/>
            </a:lnSpc>
            <a:spcBef>
              <a:spcPct val="0"/>
            </a:spcBef>
            <a:spcAft>
              <a:spcPct val="35000"/>
            </a:spcAft>
            <a:buNone/>
          </a:pPr>
          <a:r>
            <a:rPr lang="en-US" sz="800" b="1" kern="1200">
              <a:latin typeface="Bookman Old Style" pitchFamily="18" charset="0"/>
            </a:rPr>
            <a:t>Back to APCS</a:t>
          </a:r>
        </a:p>
      </dsp:txBody>
      <dsp:txXfrm>
        <a:off x="165683" y="79264"/>
        <a:ext cx="997210" cy="225373"/>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0.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7.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8.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9.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Data" Target="../diagrams/data2.xml"/><Relationship Id="rId13" Type="http://schemas.openxmlformats.org/officeDocument/2006/relationships/hyperlink" Target="#'03-45'!A1"/><Relationship Id="rId18" Type="http://schemas.microsoft.com/office/2007/relationships/diagramDrawing" Target="../diagrams/drawing3.xml"/><Relationship Id="rId3" Type="http://schemas.openxmlformats.org/officeDocument/2006/relationships/diagramLayout" Target="../diagrams/layout1.xml"/><Relationship Id="rId7" Type="http://schemas.openxmlformats.org/officeDocument/2006/relationships/hyperlink" Target="#ABCS!A1"/><Relationship Id="rId12" Type="http://schemas.microsoft.com/office/2007/relationships/diagramDrawing" Target="../diagrams/drawing2.xml"/><Relationship Id="rId17" Type="http://schemas.openxmlformats.org/officeDocument/2006/relationships/diagramColors" Target="../diagrams/colors3.xml"/><Relationship Id="rId2" Type="http://schemas.openxmlformats.org/officeDocument/2006/relationships/diagramData" Target="../diagrams/data1.xml"/><Relationship Id="rId16" Type="http://schemas.openxmlformats.org/officeDocument/2006/relationships/diagramQuickStyle" Target="../diagrams/quickStyle3.xml"/><Relationship Id="rId1" Type="http://schemas.openxmlformats.org/officeDocument/2006/relationships/hyperlink" Target="#AACS!A1"/><Relationship Id="rId6" Type="http://schemas.microsoft.com/office/2007/relationships/diagramDrawing" Target="../diagrams/drawing1.xml"/><Relationship Id="rId11" Type="http://schemas.openxmlformats.org/officeDocument/2006/relationships/diagramColors" Target="../diagrams/colors2.xml"/><Relationship Id="rId5" Type="http://schemas.openxmlformats.org/officeDocument/2006/relationships/diagramColors" Target="../diagrams/colors1.xml"/><Relationship Id="rId15" Type="http://schemas.openxmlformats.org/officeDocument/2006/relationships/diagramLayout" Target="../diagrams/layout3.xml"/><Relationship Id="rId10" Type="http://schemas.openxmlformats.org/officeDocument/2006/relationships/diagramQuickStyle" Target="../diagrams/quickStyle2.xml"/><Relationship Id="rId4" Type="http://schemas.openxmlformats.org/officeDocument/2006/relationships/diagramQuickStyle" Target="../diagrams/quickStyle1.xml"/><Relationship Id="rId9" Type="http://schemas.openxmlformats.org/officeDocument/2006/relationships/diagramLayout" Target="../diagrams/layout2.xml"/><Relationship Id="rId14" Type="http://schemas.openxmlformats.org/officeDocument/2006/relationships/diagramData" Target="../diagrams/data3.xml"/></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4.xml"/><Relationship Id="rId2" Type="http://schemas.openxmlformats.org/officeDocument/2006/relationships/diagramData" Target="../diagrams/data4.xml"/><Relationship Id="rId1" Type="http://schemas.openxmlformats.org/officeDocument/2006/relationships/hyperlink" Target="#'APCS(1)'!A1"/><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5.xml"/><Relationship Id="rId2" Type="http://schemas.openxmlformats.org/officeDocument/2006/relationships/diagramData" Target="../diagrams/data5.xml"/><Relationship Id="rId1" Type="http://schemas.openxmlformats.org/officeDocument/2006/relationships/hyperlink" Target="#APCS!A1"/><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4.xml.rels><?xml version="1.0" encoding="UTF-8" standalone="yes"?>
<Relationships xmlns="http://schemas.openxmlformats.org/package/2006/relationships"><Relationship Id="rId8" Type="http://schemas.openxmlformats.org/officeDocument/2006/relationships/diagramLayout" Target="../diagrams/layout7.xml"/><Relationship Id="rId13" Type="http://schemas.openxmlformats.org/officeDocument/2006/relationships/diagramLayout" Target="../diagrams/layout8.xml"/><Relationship Id="rId18" Type="http://schemas.openxmlformats.org/officeDocument/2006/relationships/diagramLayout" Target="../diagrams/layout9.xml"/><Relationship Id="rId26" Type="http://schemas.microsoft.com/office/2007/relationships/diagramDrawing" Target="../diagrams/drawing10.xml"/><Relationship Id="rId3" Type="http://schemas.openxmlformats.org/officeDocument/2006/relationships/diagramLayout" Target="../diagrams/layout6.xml"/><Relationship Id="rId21" Type="http://schemas.microsoft.com/office/2007/relationships/diagramDrawing" Target="../diagrams/drawing9.xml"/><Relationship Id="rId7" Type="http://schemas.openxmlformats.org/officeDocument/2006/relationships/diagramData" Target="../diagrams/data7.xml"/><Relationship Id="rId12" Type="http://schemas.openxmlformats.org/officeDocument/2006/relationships/diagramData" Target="../diagrams/data8.xml"/><Relationship Id="rId17" Type="http://schemas.openxmlformats.org/officeDocument/2006/relationships/diagramData" Target="../diagrams/data9.xml"/><Relationship Id="rId25" Type="http://schemas.openxmlformats.org/officeDocument/2006/relationships/diagramColors" Target="../diagrams/colors10.xml"/><Relationship Id="rId2" Type="http://schemas.openxmlformats.org/officeDocument/2006/relationships/diagramData" Target="../diagrams/data6.xml"/><Relationship Id="rId16" Type="http://schemas.microsoft.com/office/2007/relationships/diagramDrawing" Target="../diagrams/drawing8.xml"/><Relationship Id="rId20" Type="http://schemas.openxmlformats.org/officeDocument/2006/relationships/diagramColors" Target="../diagrams/colors9.xml"/><Relationship Id="rId29" Type="http://schemas.openxmlformats.org/officeDocument/2006/relationships/diagramQuickStyle" Target="../diagrams/quickStyle11.xml"/><Relationship Id="rId1" Type="http://schemas.openxmlformats.org/officeDocument/2006/relationships/hyperlink" Target="#APCS!A1"/><Relationship Id="rId6" Type="http://schemas.microsoft.com/office/2007/relationships/diagramDrawing" Target="../diagrams/drawing6.xml"/><Relationship Id="rId11" Type="http://schemas.microsoft.com/office/2007/relationships/diagramDrawing" Target="../diagrams/drawing7.xml"/><Relationship Id="rId24" Type="http://schemas.openxmlformats.org/officeDocument/2006/relationships/diagramQuickStyle" Target="../diagrams/quickStyle10.xml"/><Relationship Id="rId5" Type="http://schemas.openxmlformats.org/officeDocument/2006/relationships/diagramColors" Target="../diagrams/colors6.xml"/><Relationship Id="rId15" Type="http://schemas.openxmlformats.org/officeDocument/2006/relationships/diagramColors" Target="../diagrams/colors8.xml"/><Relationship Id="rId23" Type="http://schemas.openxmlformats.org/officeDocument/2006/relationships/diagramLayout" Target="../diagrams/layout10.xml"/><Relationship Id="rId28" Type="http://schemas.openxmlformats.org/officeDocument/2006/relationships/diagramLayout" Target="../diagrams/layout11.xml"/><Relationship Id="rId10" Type="http://schemas.openxmlformats.org/officeDocument/2006/relationships/diagramColors" Target="../diagrams/colors7.xml"/><Relationship Id="rId19" Type="http://schemas.openxmlformats.org/officeDocument/2006/relationships/diagramQuickStyle" Target="../diagrams/quickStyle9.xml"/><Relationship Id="rId31" Type="http://schemas.microsoft.com/office/2007/relationships/diagramDrawing" Target="../diagrams/drawing11.xml"/><Relationship Id="rId4" Type="http://schemas.openxmlformats.org/officeDocument/2006/relationships/diagramQuickStyle" Target="../diagrams/quickStyle6.xml"/><Relationship Id="rId9" Type="http://schemas.openxmlformats.org/officeDocument/2006/relationships/diagramQuickStyle" Target="../diagrams/quickStyle7.xml"/><Relationship Id="rId14" Type="http://schemas.openxmlformats.org/officeDocument/2006/relationships/diagramQuickStyle" Target="../diagrams/quickStyle8.xml"/><Relationship Id="rId22" Type="http://schemas.openxmlformats.org/officeDocument/2006/relationships/diagramData" Target="../diagrams/data10.xml"/><Relationship Id="rId27" Type="http://schemas.openxmlformats.org/officeDocument/2006/relationships/diagramData" Target="../diagrams/data11.xml"/><Relationship Id="rId30" Type="http://schemas.openxmlformats.org/officeDocument/2006/relationships/diagramColors" Target="../diagrams/colors11.xm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12.xml"/><Relationship Id="rId2" Type="http://schemas.openxmlformats.org/officeDocument/2006/relationships/diagramData" Target="../diagrams/data12.xml"/><Relationship Id="rId1" Type="http://schemas.openxmlformats.org/officeDocument/2006/relationships/hyperlink" Target="#APCS!A1"/><Relationship Id="rId6" Type="http://schemas.microsoft.com/office/2007/relationships/diagramDrawing" Target="../diagrams/drawing12.xml"/><Relationship Id="rId5" Type="http://schemas.openxmlformats.org/officeDocument/2006/relationships/diagramColors" Target="../diagrams/colors12.xml"/><Relationship Id="rId4" Type="http://schemas.openxmlformats.org/officeDocument/2006/relationships/diagramQuickStyle" Target="../diagrams/quickStyle12.xml"/></Relationships>
</file>

<file path=xl/drawings/drawing1.xml><?xml version="1.0" encoding="utf-8"?>
<xdr:wsDr xmlns:xdr="http://schemas.openxmlformats.org/drawingml/2006/spreadsheetDrawing" xmlns:a="http://schemas.openxmlformats.org/drawingml/2006/main">
  <xdr:twoCellAnchor>
    <xdr:from>
      <xdr:col>3</xdr:col>
      <xdr:colOff>161926</xdr:colOff>
      <xdr:row>4</xdr:row>
      <xdr:rowOff>161925</xdr:rowOff>
    </xdr:from>
    <xdr:to>
      <xdr:col>5</xdr:col>
      <xdr:colOff>485775</xdr:colOff>
      <xdr:row>6</xdr:row>
      <xdr:rowOff>57150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3</xdr:col>
      <xdr:colOff>857250</xdr:colOff>
      <xdr:row>18</xdr:row>
      <xdr:rowOff>9525</xdr:rowOff>
    </xdr:from>
    <xdr:to>
      <xdr:col>4</xdr:col>
      <xdr:colOff>609600</xdr:colOff>
      <xdr:row>19</xdr:row>
      <xdr:rowOff>123825</xdr:rowOff>
    </xdr:to>
    <xdr:graphicFrame macro="">
      <xdr:nvGraphicFramePr>
        <xdr:cNvPr id="3" name="Diagram 2">
          <a:hlinkClick xmlns:r="http://schemas.openxmlformats.org/officeDocument/2006/relationships" r:id="rId7"/>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6</xdr:col>
      <xdr:colOff>247650</xdr:colOff>
      <xdr:row>17</xdr:row>
      <xdr:rowOff>9525</xdr:rowOff>
    </xdr:from>
    <xdr:to>
      <xdr:col>7</xdr:col>
      <xdr:colOff>1</xdr:colOff>
      <xdr:row>18</xdr:row>
      <xdr:rowOff>42861</xdr:rowOff>
    </xdr:to>
    <xdr:graphicFrame macro="">
      <xdr:nvGraphicFramePr>
        <xdr:cNvPr id="4" name="Diagram 3">
          <a:hlinkClick xmlns:r="http://schemas.openxmlformats.org/officeDocument/2006/relationships" r:id="rId1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 r:lo="rId15" r:qs="rId16" r:cs="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28</xdr:row>
      <xdr:rowOff>9525</xdr:rowOff>
    </xdr:from>
    <xdr:to>
      <xdr:col>2</xdr:col>
      <xdr:colOff>1219200</xdr:colOff>
      <xdr:row>29</xdr:row>
      <xdr:rowOff>142875</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9</xdr:row>
      <xdr:rowOff>0</xdr:rowOff>
    </xdr:from>
    <xdr:to>
      <xdr:col>2</xdr:col>
      <xdr:colOff>1219200</xdr:colOff>
      <xdr:row>10</xdr:row>
      <xdr:rowOff>0</xdr:rowOff>
    </xdr:to>
    <xdr:graphicFrame macro="">
      <xdr:nvGraphicFramePr>
        <xdr:cNvPr id="3" name="Diagram 2">
          <a:hlinkClick xmlns:r="http://schemas.openxmlformats.org/officeDocument/2006/relationships" r:id="rId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1028700</xdr:colOff>
      <xdr:row>6</xdr:row>
      <xdr:rowOff>209550</xdr:rowOff>
    </xdr:from>
    <xdr:to>
      <xdr:col>3</xdr:col>
      <xdr:colOff>676275</xdr:colOff>
      <xdr:row>8</xdr:row>
      <xdr:rowOff>76200</xdr:rowOff>
    </xdr:to>
    <xdr:graphicFrame macro="">
      <xdr:nvGraphicFramePr>
        <xdr:cNvPr id="7" name="Diagram 6">
          <a:hlinkClick xmlns:r="http://schemas.openxmlformats.org/officeDocument/2006/relationships" r:id="rId1"/>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19050</xdr:colOff>
      <xdr:row>37</xdr:row>
      <xdr:rowOff>180976</xdr:rowOff>
    </xdr:from>
    <xdr:to>
      <xdr:col>2</xdr:col>
      <xdr:colOff>1228725</xdr:colOff>
      <xdr:row>38</xdr:row>
      <xdr:rowOff>323851</xdr:rowOff>
    </xdr:to>
    <xdr:graphicFrame macro="">
      <xdr:nvGraphicFramePr>
        <xdr:cNvPr id="8" name="Diagram 7">
          <a:hlinkClick xmlns:r="http://schemas.openxmlformats.org/officeDocument/2006/relationships" r:id="rId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2</xdr:col>
      <xdr:colOff>0</xdr:colOff>
      <xdr:row>46</xdr:row>
      <xdr:rowOff>219075</xdr:rowOff>
    </xdr:from>
    <xdr:to>
      <xdr:col>2</xdr:col>
      <xdr:colOff>1209675</xdr:colOff>
      <xdr:row>48</xdr:row>
      <xdr:rowOff>85725</xdr:rowOff>
    </xdr:to>
    <xdr:graphicFrame macro="">
      <xdr:nvGraphicFramePr>
        <xdr:cNvPr id="9" name="Diagram 8">
          <a:hlinkClick xmlns:r="http://schemas.openxmlformats.org/officeDocument/2006/relationships" r:id="rId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2</xdr:col>
      <xdr:colOff>28575</xdr:colOff>
      <xdr:row>55</xdr:row>
      <xdr:rowOff>1</xdr:rowOff>
    </xdr:from>
    <xdr:to>
      <xdr:col>2</xdr:col>
      <xdr:colOff>1238250</xdr:colOff>
      <xdr:row>56</xdr:row>
      <xdr:rowOff>57151</xdr:rowOff>
    </xdr:to>
    <xdr:graphicFrame macro="">
      <xdr:nvGraphicFramePr>
        <xdr:cNvPr id="10" name="Diagram 9">
          <a:hlinkClick xmlns:r="http://schemas.openxmlformats.org/officeDocument/2006/relationships" r:id="rId1"/>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2</xdr:col>
      <xdr:colOff>19050</xdr:colOff>
      <xdr:row>64</xdr:row>
      <xdr:rowOff>28575</xdr:rowOff>
    </xdr:from>
    <xdr:to>
      <xdr:col>2</xdr:col>
      <xdr:colOff>1228725</xdr:colOff>
      <xdr:row>65</xdr:row>
      <xdr:rowOff>9525</xdr:rowOff>
    </xdr:to>
    <xdr:graphicFrame macro="">
      <xdr:nvGraphicFramePr>
        <xdr:cNvPr id="11" name="Diagram 10">
          <a:hlinkClick xmlns:r="http://schemas.openxmlformats.org/officeDocument/2006/relationships" r:id="rId1"/>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twoCellAnchor>
    <xdr:from>
      <xdr:col>2</xdr:col>
      <xdr:colOff>1</xdr:colOff>
      <xdr:row>74</xdr:row>
      <xdr:rowOff>228600</xdr:rowOff>
    </xdr:from>
    <xdr:to>
      <xdr:col>2</xdr:col>
      <xdr:colOff>1257301</xdr:colOff>
      <xdr:row>76</xdr:row>
      <xdr:rowOff>28575</xdr:rowOff>
    </xdr:to>
    <xdr:graphicFrame macro="">
      <xdr:nvGraphicFramePr>
        <xdr:cNvPr id="12" name="Diagram 11">
          <a:hlinkClick xmlns:r="http://schemas.openxmlformats.org/officeDocument/2006/relationships" r:id="rId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 r:lo="rId28" r:qs="rId29" r:cs="rId3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119062</xdr:colOff>
      <xdr:row>63</xdr:row>
      <xdr:rowOff>83344</xdr:rowOff>
    </xdr:from>
    <xdr:to>
      <xdr:col>3</xdr:col>
      <xdr:colOff>833438</xdr:colOff>
      <xdr:row>67</xdr:row>
      <xdr:rowOff>59531</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0"/>
  <sheetViews>
    <sheetView tabSelected="1" topLeftCell="B1" zoomScale="112" workbookViewId="0">
      <selection activeCell="G8" sqref="G8"/>
    </sheetView>
  </sheetViews>
  <sheetFormatPr baseColWidth="10" defaultColWidth="8.83203125" defaultRowHeight="13" x14ac:dyDescent="0.15"/>
  <cols>
    <col min="1" max="1" width="1.83203125" style="11" customWidth="1"/>
    <col min="2" max="2" width="4" style="11" customWidth="1"/>
    <col min="3" max="3" width="17.5" style="11" customWidth="1"/>
    <col min="4" max="4" width="14.83203125" style="11" customWidth="1"/>
    <col min="5" max="5" width="10.83203125" style="11" customWidth="1"/>
    <col min="6" max="6" width="7.5" style="11" customWidth="1"/>
    <col min="7" max="7" width="21.83203125" style="11" customWidth="1"/>
    <col min="8" max="8" width="3.1640625" style="11" customWidth="1"/>
    <col min="9" max="9" width="25.83203125" style="11" customWidth="1"/>
    <col min="10" max="10" width="27.5" style="11" customWidth="1"/>
    <col min="11" max="11" width="3.5" style="11" customWidth="1"/>
    <col min="12" max="12" width="2.5" style="11" customWidth="1"/>
    <col min="13" max="13" width="9.5" style="11" customWidth="1"/>
    <col min="14" max="16384" width="8.83203125" style="11"/>
  </cols>
  <sheetData>
    <row r="1" spans="2:28" ht="15" customHeight="1" thickBot="1" x14ac:dyDescent="0.2"/>
    <row r="2" spans="2:28" ht="25.5" customHeight="1" thickBot="1" x14ac:dyDescent="0.3">
      <c r="B2" s="385" t="s">
        <v>332</v>
      </c>
      <c r="C2" s="386"/>
      <c r="D2" s="386"/>
      <c r="E2" s="386"/>
      <c r="F2" s="386"/>
      <c r="G2" s="386"/>
      <c r="H2" s="386"/>
      <c r="I2" s="386"/>
      <c r="J2" s="386"/>
      <c r="K2" s="387"/>
      <c r="M2" s="397" t="s">
        <v>414</v>
      </c>
      <c r="N2" s="398"/>
      <c r="O2" s="398"/>
      <c r="P2" s="399"/>
    </row>
    <row r="3" spans="2:28" ht="19" thickBot="1" x14ac:dyDescent="0.25">
      <c r="B3" s="198"/>
      <c r="C3" s="383" t="str">
        <f>B232</f>
        <v>Endowment Assurance</v>
      </c>
      <c r="D3" s="383"/>
      <c r="E3" s="383"/>
      <c r="F3" s="383"/>
      <c r="G3" s="383"/>
      <c r="H3" s="383"/>
      <c r="I3" s="383"/>
      <c r="J3" s="383"/>
      <c r="K3" s="201"/>
      <c r="M3" s="388" t="str">
        <f>IF(G5=1,C108,IF(G5=3,C110,IF(G5=5,C112,IF(G5=7,C114,IF(G5=19,C116,IF(G5=36,C118,IF(G5=75,C120,IF(G5=76,C122,IF(G5=78,C124,IF(G5=2,C126,IF(G5=4,C128,IF(G5=6,C130,IF(G5=9,C132,IF(G5=12,C134,IF(G5=17,C136,IF(G5=18,C138,IF(G5=24,C140,IF(G5=25,C142,IF(G5=74,C144,"")))))))))))))))))))</f>
        <v>Endowment Assurance is a type of an insurance policy in which a certain sum is paid at a certain date or death if earlier. It is the safest and surest method of guaranteed cash provision either at a specified time or at the death. It serves the requirement of the family in various shapes by way of financial help at retirement, education of children or capital for business.Under these policies the Sum Assured plus Bonuses is payable at the end of specified number of years or at death of the assured if earlier.</v>
      </c>
      <c r="N3" s="389"/>
      <c r="O3" s="389"/>
      <c r="P3" s="390"/>
    </row>
    <row r="4" spans="2:28" ht="17" thickBot="1" x14ac:dyDescent="0.25">
      <c r="B4" s="199"/>
      <c r="C4" s="212" t="s">
        <v>265</v>
      </c>
      <c r="D4" s="212"/>
      <c r="E4" s="213"/>
      <c r="F4" s="213"/>
      <c r="G4" s="263">
        <v>1000000</v>
      </c>
      <c r="H4" s="210"/>
      <c r="I4" s="381" t="s">
        <v>266</v>
      </c>
      <c r="J4" s="382"/>
      <c r="K4" s="201"/>
      <c r="M4" s="391"/>
      <c r="N4" s="392"/>
      <c r="O4" s="392"/>
      <c r="P4" s="393"/>
      <c r="U4" s="12"/>
      <c r="V4" s="12"/>
      <c r="W4" s="12"/>
      <c r="X4" s="12"/>
      <c r="Y4" s="12"/>
      <c r="Z4" s="12"/>
      <c r="AA4" s="12"/>
      <c r="AB4" s="12"/>
    </row>
    <row r="5" spans="2:28" ht="19" thickBot="1" x14ac:dyDescent="0.25">
      <c r="B5" s="199"/>
      <c r="C5" s="207" t="s">
        <v>177</v>
      </c>
      <c r="D5" s="207"/>
      <c r="E5" s="208"/>
      <c r="F5" s="208"/>
      <c r="G5" s="264">
        <v>3</v>
      </c>
      <c r="H5" s="209"/>
      <c r="I5" s="206" t="str">
        <f>IF(OR(G5=9,G5=25),"Single Premium","Annual Premium")</f>
        <v>Annual Premium</v>
      </c>
      <c r="J5" s="218">
        <f>SUM(J9:J17)</f>
        <v>48780</v>
      </c>
      <c r="K5" s="279" t="str">
        <f>IF(J5&lt;9000,"*","")</f>
        <v/>
      </c>
      <c r="M5" s="391"/>
      <c r="N5" s="392"/>
      <c r="O5" s="392"/>
      <c r="P5" s="393"/>
      <c r="U5" s="12"/>
      <c r="V5" s="12"/>
      <c r="W5" s="12"/>
      <c r="X5" s="12"/>
      <c r="Y5" s="12"/>
      <c r="Z5" s="12"/>
      <c r="AA5" s="12"/>
      <c r="AB5" s="12"/>
    </row>
    <row r="6" spans="2:28" ht="19" thickBot="1" x14ac:dyDescent="0.25">
      <c r="B6" s="199"/>
      <c r="C6" s="212" t="s">
        <v>0</v>
      </c>
      <c r="D6" s="212"/>
      <c r="E6" s="213"/>
      <c r="F6" s="213"/>
      <c r="G6" s="263">
        <v>24</v>
      </c>
      <c r="H6" s="210"/>
      <c r="I6" s="211" t="str">
        <f>IF(OR(G5=9,G5=25),"","Half Yearly")</f>
        <v>Half Yearly</v>
      </c>
      <c r="J6" s="214">
        <f>IF(OR(G5=9,G5=25),"",J5*0.52)</f>
        <v>25365.600000000002</v>
      </c>
      <c r="K6" s="279" t="str">
        <f>IF(J6&lt;7500,"*","")</f>
        <v/>
      </c>
      <c r="M6" s="391"/>
      <c r="N6" s="392"/>
      <c r="O6" s="392"/>
      <c r="P6" s="393"/>
      <c r="U6" s="12"/>
      <c r="V6" s="12"/>
      <c r="W6" s="12"/>
      <c r="X6" s="12"/>
      <c r="Y6" s="12"/>
      <c r="Z6" s="12"/>
      <c r="AA6" s="12"/>
      <c r="AB6" s="12"/>
    </row>
    <row r="7" spans="2:28" ht="19" thickBot="1" x14ac:dyDescent="0.25">
      <c r="B7" s="199"/>
      <c r="C7" s="207" t="str">
        <f>IF(OR(G5=7,G5=75,G5=76),"Age of Child",IF(G5=6,"Age of Second Life",IF(G5=19,"Age of Wife","")))</f>
        <v/>
      </c>
      <c r="D7" s="207"/>
      <c r="E7" s="208"/>
      <c r="F7" s="208"/>
      <c r="G7" s="264">
        <v>2</v>
      </c>
      <c r="H7" s="209"/>
      <c r="I7" s="206" t="str">
        <f>IF(OR(G5=9,G5=25,G5=18),"","Quarterly")</f>
        <v>Quarterly</v>
      </c>
      <c r="J7" s="218">
        <f>IF(OR(G5=9,G5=25,G5=18),"",J5*0.27)</f>
        <v>13170.6</v>
      </c>
      <c r="K7" s="279" t="str">
        <f>IF(J7&lt;7500,"*","")</f>
        <v/>
      </c>
      <c r="M7" s="391"/>
      <c r="N7" s="392"/>
      <c r="O7" s="392"/>
      <c r="P7" s="393"/>
      <c r="U7" s="12"/>
      <c r="V7" s="12"/>
      <c r="W7" s="12"/>
      <c r="X7" s="12"/>
      <c r="Y7" s="12"/>
      <c r="Z7" s="12"/>
      <c r="AA7" s="12"/>
      <c r="AB7" s="12"/>
    </row>
    <row r="8" spans="2:28" ht="19" thickBot="1" x14ac:dyDescent="0.25">
      <c r="B8" s="199"/>
      <c r="C8" s="221" t="str">
        <f>J226</f>
        <v>Term of Policy</v>
      </c>
      <c r="D8" s="221"/>
      <c r="E8" s="271"/>
      <c r="F8" s="272"/>
      <c r="G8" s="263">
        <v>20</v>
      </c>
      <c r="H8" s="210"/>
      <c r="I8" s="220" t="str">
        <f>IF(OR(G5=9,G5=25,G5=18),"","Monthly")</f>
        <v>Monthly</v>
      </c>
      <c r="J8" s="274">
        <f>IF(OR(G5=9,G5=25,G5=18),"",J9*0.09)</f>
        <v>4277.7</v>
      </c>
      <c r="K8" s="279" t="str">
        <f>IF(J8&lt;7500,"*","")</f>
        <v>*</v>
      </c>
      <c r="M8" s="391"/>
      <c r="N8" s="392"/>
      <c r="O8" s="392"/>
      <c r="P8" s="393"/>
      <c r="U8" s="12"/>
      <c r="V8" s="12"/>
      <c r="W8" s="12"/>
      <c r="X8" s="12"/>
      <c r="Y8" s="12"/>
      <c r="Z8" s="12"/>
      <c r="AA8" s="12"/>
      <c r="AB8" s="12"/>
    </row>
    <row r="9" spans="2:28" ht="17" thickBot="1" x14ac:dyDescent="0.25">
      <c r="B9" s="199"/>
      <c r="C9" s="269" t="s">
        <v>274</v>
      </c>
      <c r="D9" s="257" t="s">
        <v>275</v>
      </c>
      <c r="E9" s="270" t="s">
        <v>251</v>
      </c>
      <c r="F9" s="257" t="s">
        <v>272</v>
      </c>
      <c r="G9" s="273" t="s">
        <v>273</v>
      </c>
      <c r="H9" s="207"/>
      <c r="I9" s="261" t="s">
        <v>236</v>
      </c>
      <c r="J9" s="262">
        <f>IF(G5=74,J260,IF(G5=18,D216,G264))</f>
        <v>47530</v>
      </c>
      <c r="K9" s="201"/>
      <c r="M9" s="391"/>
      <c r="N9" s="392"/>
      <c r="O9" s="392"/>
      <c r="P9" s="393"/>
      <c r="U9" s="12"/>
      <c r="V9" s="12"/>
      <c r="W9" s="12"/>
      <c r="X9" s="12"/>
      <c r="Y9" s="12"/>
      <c r="Z9" s="12"/>
      <c r="AA9" s="12"/>
      <c r="AB9" s="12"/>
    </row>
    <row r="10" spans="2:28" ht="17" thickBot="1" x14ac:dyDescent="0.25">
      <c r="B10" s="199"/>
      <c r="C10" s="212" t="str">
        <f>IF(G16="y","","FIB in %")</f>
        <v>FIB in %</v>
      </c>
      <c r="D10" s="265">
        <v>12</v>
      </c>
      <c r="E10" s="215">
        <f>IF(AND(D10&gt;=10,D10&lt;=50),D10/10*C289,"0")</f>
        <v>0</v>
      </c>
      <c r="F10" s="265">
        <v>23</v>
      </c>
      <c r="G10" s="265"/>
      <c r="H10" s="210"/>
      <c r="I10" s="211" t="s">
        <v>226</v>
      </c>
      <c r="J10" s="216" t="str">
        <f>IF(AND(G10="y",G16=""),G4*E10/1000,IF(AND(G10="",G16="y"),"0","0"))</f>
        <v>0</v>
      </c>
      <c r="K10" s="201"/>
      <c r="M10" s="391"/>
      <c r="N10" s="392"/>
      <c r="O10" s="392"/>
      <c r="P10" s="393"/>
      <c r="U10" s="12"/>
      <c r="V10" s="12"/>
      <c r="W10" s="12"/>
      <c r="X10" s="12"/>
      <c r="Y10" s="12"/>
      <c r="Z10" s="12"/>
      <c r="AA10" s="12"/>
      <c r="AB10" s="12"/>
    </row>
    <row r="11" spans="2:28" ht="17" thickBot="1" x14ac:dyDescent="0.25">
      <c r="B11" s="199"/>
      <c r="C11" s="207" t="str">
        <f>IF(G16="y","","TIR in Times")</f>
        <v>TIR in Times</v>
      </c>
      <c r="D11" s="266">
        <v>1</v>
      </c>
      <c r="E11" s="222">
        <f>C291*D11</f>
        <v>0</v>
      </c>
      <c r="F11" s="277">
        <v>20</v>
      </c>
      <c r="G11" s="266"/>
      <c r="H11" s="209"/>
      <c r="I11" s="206" t="s">
        <v>227</v>
      </c>
      <c r="J11" s="223" t="str">
        <f>IF(AND(G11="y",G16=""),G4*E11/1000,IF(AND(G16="y",G11=""),"0","0"))</f>
        <v>0</v>
      </c>
      <c r="K11" s="201"/>
      <c r="M11" s="391"/>
      <c r="N11" s="392"/>
      <c r="O11" s="392"/>
      <c r="P11" s="393"/>
      <c r="U11" s="12"/>
      <c r="V11" s="12"/>
      <c r="W11" s="12"/>
      <c r="X11" s="12"/>
      <c r="Y11" s="12"/>
      <c r="Z11" s="12"/>
      <c r="AA11" s="12"/>
      <c r="AB11" s="12"/>
    </row>
    <row r="12" spans="2:28" ht="17" thickBot="1" x14ac:dyDescent="0.25">
      <c r="B12" s="199"/>
      <c r="C12" s="212" t="str">
        <f>IF(G16="y","","SWP")</f>
        <v>SWP</v>
      </c>
      <c r="D12" s="212"/>
      <c r="E12" s="219" t="str">
        <f>C293</f>
        <v>0</v>
      </c>
      <c r="F12" s="278">
        <v>20</v>
      </c>
      <c r="G12" s="265"/>
      <c r="H12" s="210"/>
      <c r="I12" s="211" t="s">
        <v>228</v>
      </c>
      <c r="J12" s="216" t="str">
        <f>IF(AND(G12="y",G16=""),E12*J9/100,IF(AND(G12="",G16="y"),"0","0"))</f>
        <v>0</v>
      </c>
      <c r="K12" s="201"/>
      <c r="M12" s="391"/>
      <c r="N12" s="392"/>
      <c r="O12" s="392"/>
      <c r="P12" s="393"/>
      <c r="U12" s="12"/>
      <c r="V12" s="12"/>
      <c r="W12" s="12"/>
      <c r="X12" s="12"/>
      <c r="Y12" s="12"/>
      <c r="Z12" s="12"/>
      <c r="AA12" s="12"/>
      <c r="AB12" s="12"/>
    </row>
    <row r="13" spans="2:28" ht="17" thickBot="1" x14ac:dyDescent="0.25">
      <c r="B13" s="199"/>
      <c r="C13" s="207" t="str">
        <f>IF(OR(G14="y",G16="y"),"","AIB")</f>
        <v/>
      </c>
      <c r="D13" s="207"/>
      <c r="E13" s="267">
        <v>4</v>
      </c>
      <c r="F13" s="224"/>
      <c r="G13" s="266"/>
      <c r="H13" s="209"/>
      <c r="I13" s="206" t="s">
        <v>234</v>
      </c>
      <c r="J13" s="223" t="str">
        <f>IF(AND(G14="",G13="y",G16=""),C101*E13/1000,IF(AND(G14="",G13="",G16="y"),"0","0"))</f>
        <v>0</v>
      </c>
      <c r="K13" s="201"/>
      <c r="M13" s="391"/>
      <c r="N13" s="392"/>
      <c r="O13" s="392"/>
      <c r="P13" s="393"/>
      <c r="U13" s="12"/>
      <c r="V13" s="12"/>
      <c r="W13" s="12"/>
      <c r="X13" s="12"/>
      <c r="Y13" s="12"/>
      <c r="Z13" s="12"/>
      <c r="AA13" s="12"/>
      <c r="AB13" s="12"/>
    </row>
    <row r="14" spans="2:28" ht="17" thickBot="1" x14ac:dyDescent="0.25">
      <c r="B14" s="199"/>
      <c r="C14" s="212" t="str">
        <f>IF(OR(G13="y",G16="y"),"","ADB")</f>
        <v>ADB</v>
      </c>
      <c r="D14" s="212"/>
      <c r="E14" s="268">
        <v>1.25</v>
      </c>
      <c r="F14" s="217"/>
      <c r="G14" s="265" t="s">
        <v>374</v>
      </c>
      <c r="H14" s="210"/>
      <c r="I14" s="211" t="s">
        <v>233</v>
      </c>
      <c r="J14" s="216">
        <f>IF(AND(G14="y",G13="",G16=""),C101*E14/1000,IF(AND(G14="",G13="",G16="Y"),"0","0"))</f>
        <v>1250</v>
      </c>
      <c r="K14" s="201"/>
      <c r="M14" s="391"/>
      <c r="N14" s="392"/>
      <c r="O14" s="392"/>
      <c r="P14" s="393"/>
      <c r="U14" s="12"/>
      <c r="V14" s="12"/>
      <c r="W14" s="12"/>
      <c r="X14" s="12"/>
      <c r="Y14" s="12"/>
      <c r="Z14" s="12"/>
      <c r="AA14" s="12"/>
      <c r="AB14" s="12"/>
    </row>
    <row r="15" spans="2:28" ht="17" thickBot="1" x14ac:dyDescent="0.25">
      <c r="B15" s="199"/>
      <c r="C15" s="207" t="str">
        <f>IF(OR(G13="y",G12="y",G16="y"),"","WP")</f>
        <v>WP</v>
      </c>
      <c r="D15" s="207"/>
      <c r="E15" s="222" t="str">
        <f>IF(AND(G6&lt;=24,G15="y"),0.5,IF(AND(G6&gt;=25,G6&lt;=29,G15="y"),0.75,IF(AND(G6&gt;=30,G15="y"),1,"0")))</f>
        <v>0</v>
      </c>
      <c r="F15" s="224"/>
      <c r="G15" s="266"/>
      <c r="H15" s="209"/>
      <c r="I15" s="206" t="s">
        <v>235</v>
      </c>
      <c r="J15" s="223" t="str">
        <f>IF(AND(G15="y",G13="",G16=""),C101*E15/1000,IF(AND(G16="y",G15="",G13=""),"0","0"))</f>
        <v>0</v>
      </c>
      <c r="K15" s="201"/>
      <c r="M15" s="391"/>
      <c r="N15" s="392"/>
      <c r="O15" s="392"/>
      <c r="P15" s="393"/>
      <c r="U15" s="12"/>
      <c r="V15" s="12"/>
      <c r="W15" s="12"/>
      <c r="X15" s="12"/>
      <c r="Y15" s="12"/>
      <c r="Z15" s="12"/>
      <c r="AA15" s="12"/>
      <c r="AB15" s="12"/>
    </row>
    <row r="16" spans="2:28" ht="17" thickBot="1" x14ac:dyDescent="0.25">
      <c r="B16" s="199"/>
      <c r="C16" s="212" t="s">
        <v>278</v>
      </c>
      <c r="D16" s="212"/>
      <c r="E16" s="215" t="str">
        <f>C287</f>
        <v>0</v>
      </c>
      <c r="F16" s="217"/>
      <c r="G16" s="265"/>
      <c r="H16" s="210"/>
      <c r="I16" s="211" t="s">
        <v>279</v>
      </c>
      <c r="J16" s="216" t="str">
        <f>IF(G16="y",G4*E16/1000,"0")</f>
        <v>0</v>
      </c>
      <c r="K16" s="201"/>
      <c r="M16" s="391"/>
      <c r="N16" s="392"/>
      <c r="O16" s="392"/>
      <c r="P16" s="393"/>
      <c r="U16" s="12"/>
      <c r="V16" s="12"/>
      <c r="W16" s="12"/>
      <c r="X16" s="12"/>
      <c r="Y16" s="12"/>
      <c r="Z16" s="12"/>
      <c r="AA16" s="12"/>
      <c r="AB16" s="12"/>
    </row>
    <row r="17" spans="2:28" ht="17" thickBot="1" x14ac:dyDescent="0.25">
      <c r="B17" s="199"/>
      <c r="C17" s="207" t="str">
        <f>IF(G16="y","","RPR")</f>
        <v>RPR</v>
      </c>
      <c r="D17" s="207"/>
      <c r="E17" s="222" t="str">
        <f>C295</f>
        <v>0</v>
      </c>
      <c r="F17" s="277">
        <v>20</v>
      </c>
      <c r="G17" s="266"/>
      <c r="H17" s="209"/>
      <c r="I17" s="259" t="s">
        <v>229</v>
      </c>
      <c r="J17" s="260" t="str">
        <f>IF(AND(G17="y",G16=""),D260*E17/100,IF(AND(G17="",G16="y"),"0","0"))</f>
        <v>0</v>
      </c>
      <c r="K17" s="201"/>
      <c r="M17" s="391"/>
      <c r="N17" s="392"/>
      <c r="O17" s="392"/>
      <c r="P17" s="393"/>
      <c r="U17" s="12"/>
      <c r="V17" s="12"/>
      <c r="W17" s="12"/>
      <c r="X17" s="12"/>
      <c r="Y17" s="12"/>
      <c r="Z17" s="12"/>
      <c r="AA17" s="12"/>
      <c r="AB17" s="12"/>
    </row>
    <row r="18" spans="2:28" ht="28.5" customHeight="1" x14ac:dyDescent="0.2">
      <c r="B18" s="199"/>
      <c r="C18" s="324" t="s">
        <v>230</v>
      </c>
      <c r="D18" s="325" t="str">
        <f>D266</f>
        <v/>
      </c>
      <c r="E18" s="325">
        <f>C267</f>
        <v>47.93</v>
      </c>
      <c r="F18" s="325"/>
      <c r="G18" s="326"/>
      <c r="H18" s="280" t="str">
        <f>IF(OR(K5="*",K6="*",K7="*",K8="*"),"*","")</f>
        <v>*</v>
      </c>
      <c r="I18" s="400" t="str">
        <f>IF(AND(K5="*",K6="*",K7="*",K8="*"),"All premiums are not allowable.",IF(AND(K6="*",K7="*",K8="*"),"Half yearly, Quarterly and Monthly Premiums are not allowable.",IF(AND(K7="*",K8="*"),"Quarterly and Monthly Premiums are not allowable.",IF(K8="*","Monthly Premium is not allowable.",""))))</f>
        <v>Monthly Premium is not allowable.</v>
      </c>
      <c r="J18" s="400"/>
      <c r="K18" s="201"/>
      <c r="M18" s="391"/>
      <c r="N18" s="392"/>
      <c r="O18" s="392"/>
      <c r="P18" s="393"/>
      <c r="U18" s="12"/>
      <c r="V18" s="12"/>
      <c r="W18" s="12"/>
      <c r="X18" s="12"/>
      <c r="Y18" s="12"/>
      <c r="Z18" s="12"/>
      <c r="AA18" s="12"/>
      <c r="AB18" s="12"/>
    </row>
    <row r="19" spans="2:28" ht="15.75" customHeight="1" thickBot="1" x14ac:dyDescent="0.25">
      <c r="B19" s="199"/>
      <c r="C19" s="323" t="s">
        <v>528</v>
      </c>
      <c r="D19" s="207"/>
      <c r="E19" s="384">
        <f>ABCS!H8</f>
        <v>3269000</v>
      </c>
      <c r="F19" s="384"/>
      <c r="G19" s="384"/>
      <c r="H19" s="258"/>
      <c r="I19" s="323" t="s">
        <v>566</v>
      </c>
      <c r="J19" s="357">
        <f>D99</f>
        <v>975600</v>
      </c>
      <c r="K19" s="201"/>
      <c r="L19" s="358"/>
      <c r="M19" s="394"/>
      <c r="N19" s="395"/>
      <c r="O19" s="395"/>
      <c r="P19" s="396"/>
      <c r="U19" s="12"/>
      <c r="V19" s="12"/>
      <c r="W19" s="12"/>
      <c r="X19" s="12"/>
      <c r="Y19" s="12"/>
      <c r="Z19" s="12"/>
      <c r="AA19" s="12"/>
      <c r="AB19" s="12"/>
    </row>
    <row r="20" spans="2:28" ht="22" thickBot="1" x14ac:dyDescent="0.3">
      <c r="B20" s="200"/>
      <c r="C20" s="203" t="str">
        <f>C147</f>
        <v>Non Medical</v>
      </c>
      <c r="D20" s="203"/>
      <c r="E20" s="204"/>
      <c r="F20" s="204"/>
      <c r="G20" s="205"/>
      <c r="H20" s="204"/>
      <c r="I20" s="204"/>
      <c r="J20" s="204"/>
      <c r="K20" s="202"/>
      <c r="M20" s="225"/>
      <c r="N20" s="228" t="s">
        <v>177</v>
      </c>
      <c r="O20" s="227">
        <f>G5</f>
        <v>3</v>
      </c>
      <c r="P20" s="226"/>
      <c r="T20" s="12"/>
      <c r="U20" s="12"/>
      <c r="V20" s="12"/>
      <c r="W20" s="12"/>
      <c r="X20" s="12"/>
      <c r="Y20" s="12"/>
      <c r="Z20" s="12"/>
      <c r="AA20" s="12"/>
    </row>
    <row r="21" spans="2:28" ht="15" x14ac:dyDescent="0.2">
      <c r="B21" s="137"/>
      <c r="C21" s="138"/>
      <c r="D21" s="138"/>
      <c r="E21" s="139"/>
      <c r="F21" s="139"/>
      <c r="G21" s="140"/>
      <c r="H21" s="139"/>
      <c r="I21" s="139"/>
      <c r="J21" s="139"/>
      <c r="K21" s="139"/>
      <c r="T21" s="12"/>
      <c r="U21" s="12"/>
      <c r="V21" s="12"/>
      <c r="W21" s="12"/>
      <c r="X21" s="12"/>
      <c r="Y21" s="12"/>
      <c r="Z21" s="12"/>
      <c r="AA21" s="12"/>
    </row>
    <row r="22" spans="2:28" x14ac:dyDescent="0.15">
      <c r="B22" s="281" t="s">
        <v>271</v>
      </c>
      <c r="C22" s="281"/>
      <c r="D22" s="281"/>
      <c r="E22" s="281"/>
      <c r="F22" s="281"/>
      <c r="G22" s="281"/>
      <c r="H22" s="282"/>
      <c r="I22" s="282"/>
      <c r="J22" s="282"/>
      <c r="S22" s="12"/>
      <c r="T22" s="12"/>
      <c r="U22" s="12"/>
      <c r="V22" s="12"/>
      <c r="W22" s="12"/>
      <c r="X22" s="12"/>
      <c r="Y22" s="12"/>
      <c r="Z22" s="12"/>
    </row>
    <row r="23" spans="2:28" x14ac:dyDescent="0.15">
      <c r="B23" s="283">
        <v>1</v>
      </c>
      <c r="C23" s="281" t="s">
        <v>417</v>
      </c>
      <c r="D23" s="281"/>
      <c r="E23" s="281"/>
      <c r="F23" s="281"/>
      <c r="G23" s="281"/>
      <c r="H23" s="282"/>
      <c r="I23" s="284"/>
      <c r="J23" s="284"/>
      <c r="S23" s="12"/>
      <c r="T23" s="12"/>
      <c r="U23" s="12"/>
      <c r="V23" s="12"/>
      <c r="W23" s="12"/>
      <c r="X23" s="12"/>
      <c r="Y23" s="12"/>
      <c r="Z23" s="12"/>
    </row>
    <row r="24" spans="2:28" x14ac:dyDescent="0.15">
      <c r="B24" s="283">
        <v>2</v>
      </c>
      <c r="C24" s="281" t="s">
        <v>268</v>
      </c>
      <c r="D24" s="281"/>
      <c r="E24" s="281"/>
      <c r="F24" s="281"/>
      <c r="G24" s="281"/>
      <c r="H24" s="282"/>
      <c r="I24" s="282"/>
      <c r="J24" s="282"/>
      <c r="S24" s="12"/>
      <c r="T24" s="12"/>
      <c r="U24" s="12"/>
      <c r="V24" s="12"/>
      <c r="W24" s="12"/>
      <c r="X24" s="12"/>
      <c r="Y24" s="12"/>
      <c r="Z24" s="12"/>
    </row>
    <row r="25" spans="2:28" x14ac:dyDescent="0.15">
      <c r="B25" s="283">
        <v>3</v>
      </c>
      <c r="C25" s="281" t="s">
        <v>269</v>
      </c>
      <c r="D25" s="281"/>
      <c r="E25" s="281"/>
      <c r="F25" s="281"/>
      <c r="G25" s="281"/>
      <c r="H25" s="282"/>
      <c r="I25" s="282"/>
      <c r="J25" s="282"/>
      <c r="S25" s="12"/>
      <c r="T25" s="12"/>
      <c r="U25" s="12"/>
      <c r="V25" s="12"/>
      <c r="W25" s="12"/>
      <c r="X25" s="12"/>
      <c r="Y25" s="12"/>
      <c r="Z25" s="12"/>
    </row>
    <row r="26" spans="2:28" x14ac:dyDescent="0.15">
      <c r="B26" s="283">
        <v>4</v>
      </c>
      <c r="C26" s="281" t="s">
        <v>276</v>
      </c>
      <c r="D26" s="281"/>
      <c r="E26" s="281"/>
      <c r="F26" s="281"/>
      <c r="G26" s="281"/>
      <c r="H26" s="282"/>
      <c r="I26" s="282"/>
      <c r="J26" s="282"/>
      <c r="S26" s="12"/>
      <c r="T26" s="12"/>
      <c r="U26" s="12"/>
      <c r="V26" s="12"/>
      <c r="W26" s="12"/>
      <c r="X26" s="12"/>
      <c r="Y26" s="12"/>
      <c r="Z26" s="12"/>
    </row>
    <row r="27" spans="2:28" x14ac:dyDescent="0.15">
      <c r="B27" s="283">
        <v>5</v>
      </c>
      <c r="C27" s="281" t="s">
        <v>277</v>
      </c>
      <c r="D27" s="281"/>
      <c r="E27" s="281"/>
      <c r="F27" s="281"/>
      <c r="G27" s="281"/>
      <c r="H27" s="285"/>
      <c r="I27" s="282"/>
      <c r="J27" s="282"/>
      <c r="S27" s="12"/>
      <c r="T27" s="12"/>
      <c r="U27" s="12"/>
      <c r="V27" s="12"/>
      <c r="W27" s="12"/>
      <c r="X27" s="12"/>
      <c r="Y27" s="12"/>
      <c r="Z27" s="12"/>
    </row>
    <row r="28" spans="2:28" x14ac:dyDescent="0.15">
      <c r="B28" s="281" t="s">
        <v>372</v>
      </c>
      <c r="C28" s="282"/>
      <c r="D28" s="282"/>
      <c r="E28" s="282"/>
      <c r="F28" s="282"/>
      <c r="G28" s="282"/>
      <c r="H28" s="282"/>
      <c r="I28" s="282"/>
      <c r="J28" s="282"/>
      <c r="S28" s="12"/>
      <c r="T28" s="12"/>
      <c r="U28" s="12"/>
      <c r="V28" s="12"/>
      <c r="W28" s="12"/>
      <c r="X28" s="12"/>
      <c r="Y28" s="12"/>
      <c r="Z28" s="12"/>
    </row>
    <row r="29" spans="2:28" x14ac:dyDescent="0.15">
      <c r="S29" s="12"/>
      <c r="T29" s="12"/>
      <c r="U29" s="12"/>
      <c r="V29" s="12"/>
      <c r="W29" s="12"/>
      <c r="X29" s="12"/>
      <c r="Y29" s="12"/>
      <c r="Z29" s="12"/>
    </row>
    <row r="30" spans="2:28" x14ac:dyDescent="0.15">
      <c r="S30" s="12"/>
      <c r="T30" s="12"/>
      <c r="U30" s="12"/>
      <c r="V30" s="12"/>
      <c r="W30" s="12"/>
      <c r="X30" s="12"/>
      <c r="Y30" s="12"/>
      <c r="Z30" s="12"/>
    </row>
    <row r="31" spans="2:28" x14ac:dyDescent="0.15">
      <c r="S31" s="12"/>
      <c r="T31" s="12"/>
      <c r="U31" s="12"/>
      <c r="V31" s="12"/>
      <c r="W31" s="12"/>
      <c r="X31" s="12"/>
      <c r="Y31" s="12"/>
      <c r="Z31" s="12"/>
    </row>
    <row r="32" spans="2:28" x14ac:dyDescent="0.15">
      <c r="S32" s="12"/>
      <c r="T32" s="12"/>
      <c r="U32" s="12"/>
      <c r="V32" s="12"/>
      <c r="W32" s="12"/>
      <c r="X32" s="12"/>
      <c r="Y32" s="12"/>
      <c r="Z32" s="12"/>
    </row>
    <row r="33" spans="3:26" x14ac:dyDescent="0.15">
      <c r="S33" s="12"/>
      <c r="T33" s="12"/>
      <c r="U33" s="12"/>
      <c r="V33" s="12"/>
      <c r="W33" s="12"/>
      <c r="X33" s="12"/>
      <c r="Y33" s="12"/>
      <c r="Z33" s="12"/>
    </row>
    <row r="34" spans="3:26" x14ac:dyDescent="0.15">
      <c r="S34" s="12"/>
      <c r="T34" s="12"/>
      <c r="U34" s="12"/>
      <c r="V34" s="12"/>
      <c r="W34" s="12"/>
      <c r="X34" s="12"/>
      <c r="Y34" s="12"/>
      <c r="Z34" s="12"/>
    </row>
    <row r="35" spans="3:26" x14ac:dyDescent="0.15">
      <c r="S35" s="12"/>
      <c r="T35" s="12"/>
      <c r="U35" s="12"/>
      <c r="V35" s="12"/>
      <c r="W35" s="12"/>
      <c r="X35" s="12"/>
      <c r="Y35" s="12"/>
      <c r="Z35" s="12"/>
    </row>
    <row r="36" spans="3:26" x14ac:dyDescent="0.15">
      <c r="S36" s="12"/>
      <c r="T36" s="12"/>
      <c r="U36" s="12"/>
      <c r="V36" s="12"/>
      <c r="W36" s="12"/>
      <c r="X36" s="12"/>
      <c r="Y36" s="12"/>
      <c r="Z36" s="12"/>
    </row>
    <row r="37" spans="3:26" x14ac:dyDescent="0.15">
      <c r="S37" s="12"/>
      <c r="T37" s="12"/>
      <c r="U37" s="12"/>
      <c r="V37" s="12"/>
      <c r="W37" s="12"/>
      <c r="X37" s="12"/>
      <c r="Y37" s="12"/>
      <c r="Z37" s="12"/>
    </row>
    <row r="38" spans="3:26" x14ac:dyDescent="0.15">
      <c r="S38" s="12"/>
      <c r="T38" s="12"/>
      <c r="U38" s="12"/>
      <c r="V38" s="12"/>
      <c r="W38" s="12"/>
      <c r="X38" s="12"/>
      <c r="Y38" s="12"/>
      <c r="Z38" s="12"/>
    </row>
    <row r="39" spans="3:26" x14ac:dyDescent="0.15">
      <c r="S39" s="12"/>
      <c r="T39" s="12"/>
      <c r="U39" s="12"/>
      <c r="V39" s="12"/>
      <c r="W39" s="12"/>
      <c r="X39" s="12"/>
      <c r="Y39" s="12"/>
      <c r="Z39" s="12"/>
    </row>
    <row r="40" spans="3:26" x14ac:dyDescent="0.15">
      <c r="S40" s="12"/>
      <c r="T40" s="12"/>
      <c r="U40" s="12"/>
      <c r="V40" s="12"/>
      <c r="W40" s="12"/>
      <c r="X40" s="12"/>
      <c r="Y40" s="12"/>
      <c r="Z40" s="12"/>
    </row>
    <row r="41" spans="3:26" hidden="1" x14ac:dyDescent="0.15">
      <c r="C41" s="57"/>
      <c r="D41" s="58"/>
      <c r="E41" s="20"/>
      <c r="F41" s="58"/>
      <c r="G41" s="59"/>
      <c r="S41" s="12"/>
      <c r="T41" s="12"/>
      <c r="U41" s="12"/>
      <c r="V41" s="12"/>
      <c r="W41" s="12"/>
      <c r="X41" s="12"/>
      <c r="Y41" s="12"/>
      <c r="Z41" s="12"/>
    </row>
    <row r="42" spans="3:26" hidden="1" x14ac:dyDescent="0.15">
      <c r="C42" s="60" t="s">
        <v>309</v>
      </c>
      <c r="D42"/>
      <c r="F42"/>
      <c r="G42" s="61"/>
      <c r="S42" s="12"/>
      <c r="T42" s="12"/>
      <c r="U42" s="12"/>
      <c r="V42" s="12"/>
      <c r="W42" s="12"/>
      <c r="X42" s="12"/>
      <c r="Y42" s="12"/>
      <c r="Z42" s="12"/>
    </row>
    <row r="43" spans="3:26" hidden="1" x14ac:dyDescent="0.15">
      <c r="C43" s="60" t="s">
        <v>272</v>
      </c>
      <c r="D43"/>
      <c r="F43"/>
      <c r="G43" s="61"/>
      <c r="S43" s="12"/>
      <c r="T43" s="12"/>
      <c r="U43" s="12"/>
      <c r="V43" s="12"/>
      <c r="W43" s="12"/>
      <c r="X43" s="12"/>
      <c r="Y43" s="12"/>
      <c r="Z43" s="12"/>
    </row>
    <row r="44" spans="3:26" hidden="1" x14ac:dyDescent="0.15">
      <c r="C44" s="60" t="s">
        <v>177</v>
      </c>
      <c r="D44"/>
      <c r="F44"/>
      <c r="G44" s="61"/>
      <c r="S44" s="12"/>
      <c r="T44" s="12"/>
      <c r="U44" s="12"/>
      <c r="V44" s="12"/>
      <c r="W44" s="12"/>
      <c r="X44" s="12"/>
      <c r="Y44" s="12"/>
      <c r="Z44" s="12"/>
    </row>
    <row r="45" spans="3:26" hidden="1" x14ac:dyDescent="0.15">
      <c r="C45" s="60" t="s">
        <v>0</v>
      </c>
      <c r="D45"/>
      <c r="F45"/>
      <c r="G45" s="61"/>
      <c r="S45" s="12"/>
      <c r="T45" s="12"/>
      <c r="U45" s="12"/>
      <c r="V45" s="12"/>
      <c r="W45" s="12"/>
      <c r="X45" s="12"/>
      <c r="Y45" s="12"/>
      <c r="Z45" s="12"/>
    </row>
    <row r="46" spans="3:26" hidden="1" x14ac:dyDescent="0.15">
      <c r="C46" s="60" t="s">
        <v>313</v>
      </c>
      <c r="D46"/>
      <c r="F46"/>
      <c r="S46" s="12"/>
      <c r="T46" s="12"/>
      <c r="U46" s="12"/>
      <c r="V46" s="12"/>
      <c r="W46" s="12"/>
      <c r="X46" s="12"/>
      <c r="Y46" s="12"/>
      <c r="Z46" s="12"/>
    </row>
    <row r="47" spans="3:26" ht="14" hidden="1" thickBot="1" x14ac:dyDescent="0.2">
      <c r="C47" s="62"/>
      <c r="D47" s="63"/>
      <c r="E47" s="25"/>
      <c r="F47" s="63"/>
      <c r="G47" s="64"/>
      <c r="S47" s="12"/>
      <c r="T47" s="12"/>
      <c r="U47" s="12"/>
      <c r="V47" s="12"/>
      <c r="W47" s="12"/>
      <c r="X47" s="12"/>
      <c r="Y47" s="12"/>
      <c r="Z47" s="12"/>
    </row>
    <row r="48" spans="3:26" hidden="1" x14ac:dyDescent="0.15">
      <c r="C48"/>
      <c r="D48"/>
      <c r="E48"/>
      <c r="F48"/>
      <c r="G48"/>
      <c r="S48" s="12"/>
      <c r="T48" s="12"/>
      <c r="U48" s="12"/>
      <c r="V48" s="12"/>
      <c r="W48" s="12"/>
      <c r="X48" s="12"/>
      <c r="Y48" s="12"/>
      <c r="Z48" s="12"/>
    </row>
    <row r="49" spans="3:26" hidden="1" x14ac:dyDescent="0.15">
      <c r="C49"/>
      <c r="D49"/>
      <c r="E49"/>
      <c r="F49"/>
      <c r="G49"/>
      <c r="S49" s="12"/>
      <c r="T49" s="12"/>
      <c r="U49" s="12"/>
      <c r="V49" s="12"/>
      <c r="W49" s="12"/>
      <c r="X49" s="12"/>
      <c r="Y49" s="12"/>
      <c r="Z49" s="12"/>
    </row>
    <row r="50" spans="3:26" hidden="1" x14ac:dyDescent="0.15">
      <c r="C50" s="48" t="s">
        <v>406</v>
      </c>
      <c r="D50" s="49"/>
      <c r="E50" s="49"/>
      <c r="F50" s="49"/>
      <c r="G50" s="49"/>
      <c r="H50" s="66"/>
      <c r="I50" s="67"/>
      <c r="S50" s="12"/>
      <c r="T50" s="12"/>
      <c r="U50" s="12"/>
      <c r="V50" s="12"/>
      <c r="W50" s="12"/>
      <c r="X50" s="12"/>
      <c r="Y50" s="12"/>
      <c r="Z50" s="12"/>
    </row>
    <row r="51" spans="3:26" hidden="1" x14ac:dyDescent="0.15">
      <c r="C51" s="65" t="s">
        <v>315</v>
      </c>
      <c r="D51"/>
      <c r="E51"/>
      <c r="F51"/>
      <c r="G51"/>
      <c r="I51" s="68"/>
      <c r="S51" s="12"/>
      <c r="T51" s="12"/>
      <c r="U51" s="12"/>
      <c r="V51" s="12"/>
      <c r="W51" s="12"/>
      <c r="X51" s="12"/>
      <c r="Y51" s="12"/>
      <c r="Z51" s="12"/>
    </row>
    <row r="52" spans="3:26" hidden="1" x14ac:dyDescent="0.15">
      <c r="C52" s="65"/>
      <c r="D52"/>
      <c r="E52"/>
      <c r="F52"/>
      <c r="G52"/>
      <c r="I52" s="68"/>
      <c r="S52" s="12"/>
      <c r="T52" s="12"/>
      <c r="U52" s="12"/>
      <c r="V52" s="12"/>
      <c r="W52" s="12"/>
      <c r="X52" s="12"/>
      <c r="Y52" s="12"/>
      <c r="Z52" s="12"/>
    </row>
    <row r="53" spans="3:26" hidden="1" x14ac:dyDescent="0.15">
      <c r="C53" s="51"/>
      <c r="E53" s="56" t="s">
        <v>317</v>
      </c>
      <c r="F53"/>
      <c r="G53" s="56" t="s">
        <v>320</v>
      </c>
      <c r="I53" s="68"/>
      <c r="S53" s="12"/>
      <c r="T53" s="12"/>
      <c r="U53" s="12"/>
      <c r="V53" s="12"/>
      <c r="W53" s="12"/>
      <c r="X53" s="12"/>
      <c r="Y53" s="12"/>
      <c r="Z53" s="12"/>
    </row>
    <row r="54" spans="3:26" hidden="1" x14ac:dyDescent="0.15">
      <c r="C54" s="51"/>
      <c r="E54" s="56" t="s">
        <v>316</v>
      </c>
      <c r="F54"/>
      <c r="G54" s="56" t="s">
        <v>319</v>
      </c>
      <c r="I54" s="68"/>
      <c r="S54" s="12"/>
      <c r="T54" s="12"/>
      <c r="U54" s="12"/>
      <c r="V54" s="12"/>
      <c r="W54" s="12"/>
      <c r="X54" s="12"/>
      <c r="Y54" s="12"/>
      <c r="Z54" s="12"/>
    </row>
    <row r="55" spans="3:26" hidden="1" x14ac:dyDescent="0.15">
      <c r="C55" s="51"/>
      <c r="D55" s="56"/>
      <c r="E55" s="56"/>
      <c r="F55"/>
      <c r="G55"/>
      <c r="I55" s="68"/>
      <c r="S55" s="12"/>
      <c r="T55" s="12"/>
      <c r="U55" s="12"/>
      <c r="V55" s="12"/>
      <c r="W55" s="12"/>
      <c r="X55" s="12"/>
      <c r="Y55" s="12"/>
      <c r="Z55" s="12"/>
    </row>
    <row r="56" spans="3:26" hidden="1" x14ac:dyDescent="0.15">
      <c r="C56" s="65" t="s">
        <v>240</v>
      </c>
      <c r="D56" s="56"/>
      <c r="E56" s="56"/>
      <c r="F56"/>
      <c r="G56"/>
      <c r="I56" s="68"/>
      <c r="S56" s="12"/>
      <c r="T56" s="12"/>
      <c r="U56" s="12"/>
      <c r="V56" s="12"/>
      <c r="W56" s="12"/>
      <c r="X56" s="12"/>
      <c r="Y56" s="12"/>
      <c r="Z56" s="12"/>
    </row>
    <row r="57" spans="3:26" hidden="1" x14ac:dyDescent="0.15">
      <c r="C57" s="51"/>
      <c r="E57">
        <v>56</v>
      </c>
      <c r="G57">
        <v>102</v>
      </c>
      <c r="I57" s="68"/>
      <c r="S57" s="12"/>
      <c r="T57" s="12"/>
      <c r="U57" s="12"/>
      <c r="V57" s="12"/>
      <c r="W57" s="12"/>
      <c r="X57" s="12"/>
      <c r="Y57" s="12"/>
      <c r="Z57" s="12"/>
    </row>
    <row r="58" spans="3:26" hidden="1" x14ac:dyDescent="0.15">
      <c r="C58" s="65" t="s">
        <v>305</v>
      </c>
      <c r="E58"/>
      <c r="G58"/>
      <c r="I58" s="68"/>
      <c r="S58" s="12"/>
      <c r="T58" s="12"/>
      <c r="U58" s="12"/>
      <c r="V58" s="12"/>
      <c r="W58" s="12"/>
      <c r="X58" s="12"/>
      <c r="Y58" s="12"/>
      <c r="Z58" s="12"/>
    </row>
    <row r="59" spans="3:26" hidden="1" x14ac:dyDescent="0.15">
      <c r="C59" s="51" t="s">
        <v>302</v>
      </c>
      <c r="E59">
        <v>48</v>
      </c>
      <c r="G59">
        <v>94</v>
      </c>
      <c r="I59" s="68"/>
      <c r="S59" s="12"/>
      <c r="T59" s="12"/>
      <c r="U59" s="12"/>
      <c r="V59" s="12"/>
      <c r="W59" s="12"/>
      <c r="X59" s="12"/>
      <c r="Y59" s="12"/>
      <c r="Z59" s="12"/>
    </row>
    <row r="60" spans="3:26" hidden="1" x14ac:dyDescent="0.15">
      <c r="C60" s="51" t="s">
        <v>303</v>
      </c>
      <c r="E60">
        <v>35</v>
      </c>
      <c r="G60">
        <v>81</v>
      </c>
      <c r="I60" s="68"/>
      <c r="S60" s="12"/>
      <c r="T60" s="12"/>
      <c r="U60" s="12"/>
      <c r="V60" s="12"/>
      <c r="W60" s="12"/>
      <c r="X60" s="12"/>
      <c r="Y60" s="12"/>
      <c r="Z60" s="12"/>
    </row>
    <row r="61" spans="3:26" hidden="1" x14ac:dyDescent="0.15">
      <c r="C61" s="51" t="s">
        <v>304</v>
      </c>
      <c r="E61">
        <v>20</v>
      </c>
      <c r="G61">
        <v>66</v>
      </c>
      <c r="I61" s="68"/>
      <c r="S61" s="12"/>
      <c r="T61" s="12"/>
      <c r="U61" s="12"/>
      <c r="V61" s="12"/>
      <c r="W61" s="12"/>
      <c r="X61" s="12"/>
      <c r="Y61" s="12"/>
      <c r="Z61" s="12"/>
    </row>
    <row r="62" spans="3:26" hidden="1" x14ac:dyDescent="0.15">
      <c r="C62" s="51"/>
      <c r="D62"/>
      <c r="E62"/>
      <c r="F62"/>
      <c r="G62"/>
      <c r="I62" s="68"/>
      <c r="S62" s="12"/>
      <c r="T62" s="12"/>
      <c r="U62" s="12"/>
      <c r="V62" s="12"/>
      <c r="W62" s="12"/>
      <c r="X62" s="12"/>
      <c r="Y62" s="12"/>
      <c r="Z62" s="12"/>
    </row>
    <row r="63" spans="3:26" hidden="1" x14ac:dyDescent="0.15">
      <c r="C63" s="65" t="s">
        <v>308</v>
      </c>
      <c r="D63"/>
      <c r="E63"/>
      <c r="F63"/>
      <c r="G63"/>
      <c r="I63" s="68"/>
      <c r="S63" s="12"/>
      <c r="T63" s="12"/>
      <c r="U63" s="12"/>
      <c r="V63" s="12"/>
      <c r="W63" s="12"/>
      <c r="X63" s="12"/>
      <c r="Y63" s="12"/>
      <c r="Z63" s="12"/>
    </row>
    <row r="64" spans="3:26" hidden="1" x14ac:dyDescent="0.15">
      <c r="C64" s="51" t="s">
        <v>302</v>
      </c>
      <c r="E64">
        <v>35</v>
      </c>
      <c r="G64">
        <v>69</v>
      </c>
      <c r="I64" s="68"/>
      <c r="S64" s="12"/>
      <c r="T64" s="12"/>
      <c r="U64" s="12"/>
      <c r="V64" s="12"/>
      <c r="W64" s="12"/>
      <c r="X64" s="12"/>
      <c r="Y64" s="12"/>
      <c r="Z64" s="12"/>
    </row>
    <row r="65" spans="3:26" hidden="1" x14ac:dyDescent="0.15">
      <c r="C65" s="51" t="s">
        <v>303</v>
      </c>
      <c r="E65">
        <v>25</v>
      </c>
      <c r="G65">
        <v>59</v>
      </c>
      <c r="I65" s="68"/>
      <c r="S65" s="12"/>
      <c r="T65" s="12"/>
      <c r="U65" s="12"/>
      <c r="V65" s="12"/>
      <c r="W65" s="12"/>
      <c r="X65" s="12"/>
      <c r="Y65" s="12"/>
      <c r="Z65" s="12"/>
    </row>
    <row r="66" spans="3:26" hidden="1" x14ac:dyDescent="0.15">
      <c r="C66" s="51" t="s">
        <v>304</v>
      </c>
      <c r="E66">
        <v>19</v>
      </c>
      <c r="G66">
        <v>53</v>
      </c>
      <c r="I66" s="68"/>
      <c r="S66" s="12"/>
      <c r="T66" s="12"/>
      <c r="U66" s="12"/>
      <c r="V66" s="12"/>
      <c r="W66" s="12"/>
      <c r="X66" s="12"/>
      <c r="Y66" s="12"/>
      <c r="Z66" s="12"/>
    </row>
    <row r="67" spans="3:26" hidden="1" x14ac:dyDescent="0.15">
      <c r="C67" s="51"/>
      <c r="D67"/>
      <c r="E67"/>
      <c r="F67"/>
      <c r="G67"/>
      <c r="I67" s="68"/>
      <c r="S67" s="12"/>
      <c r="T67" s="12"/>
      <c r="U67" s="12"/>
      <c r="V67" s="12"/>
      <c r="W67" s="12"/>
      <c r="X67" s="12"/>
      <c r="Y67" s="12"/>
      <c r="Z67" s="12"/>
    </row>
    <row r="68" spans="3:26" hidden="1" x14ac:dyDescent="0.15">
      <c r="C68" s="65" t="s">
        <v>306</v>
      </c>
      <c r="D68"/>
      <c r="E68">
        <v>60</v>
      </c>
      <c r="F68" t="s">
        <v>318</v>
      </c>
      <c r="G68"/>
      <c r="I68" s="68"/>
      <c r="S68" s="12"/>
      <c r="T68" s="12"/>
      <c r="U68" s="12"/>
      <c r="V68" s="12"/>
      <c r="W68" s="12"/>
      <c r="X68" s="12"/>
      <c r="Y68" s="12"/>
      <c r="Z68" s="12"/>
    </row>
    <row r="69" spans="3:26" hidden="1" x14ac:dyDescent="0.15">
      <c r="C69" s="65" t="s">
        <v>307</v>
      </c>
      <c r="D69"/>
      <c r="E69">
        <v>10</v>
      </c>
      <c r="F69" t="s">
        <v>318</v>
      </c>
      <c r="G69"/>
      <c r="I69" s="68"/>
      <c r="S69" s="12"/>
      <c r="T69" s="12"/>
      <c r="U69" s="12"/>
      <c r="V69" s="12"/>
      <c r="W69" s="12"/>
      <c r="X69" s="12"/>
      <c r="Y69" s="12"/>
      <c r="Z69" s="12"/>
    </row>
    <row r="70" spans="3:26" hidden="1" x14ac:dyDescent="0.15">
      <c r="C70" s="53"/>
      <c r="D70" s="54"/>
      <c r="E70" s="54"/>
      <c r="F70" s="54"/>
      <c r="G70" s="54"/>
      <c r="H70" s="39"/>
      <c r="I70" s="69"/>
      <c r="S70" s="12"/>
      <c r="T70" s="12"/>
      <c r="U70" s="12"/>
      <c r="V70" s="12"/>
      <c r="W70" s="12"/>
      <c r="X70" s="12"/>
      <c r="Y70" s="12"/>
      <c r="Z70" s="12"/>
    </row>
    <row r="71" spans="3:26" hidden="1" x14ac:dyDescent="0.15">
      <c r="C71"/>
      <c r="D71"/>
      <c r="E71"/>
      <c r="F71"/>
      <c r="G71"/>
      <c r="S71" s="12"/>
      <c r="T71" s="12"/>
      <c r="U71" s="12"/>
      <c r="V71" s="12"/>
      <c r="W71" s="12"/>
      <c r="X71" s="12"/>
      <c r="Y71" s="12"/>
      <c r="Z71" s="12"/>
    </row>
    <row r="72" spans="3:26" hidden="1" x14ac:dyDescent="0.15">
      <c r="C72" s="48" t="s">
        <v>321</v>
      </c>
      <c r="D72" s="49"/>
      <c r="E72" s="49"/>
      <c r="F72" s="49"/>
      <c r="G72" s="50"/>
      <c r="S72" s="12"/>
      <c r="T72" s="12"/>
      <c r="U72" s="12"/>
      <c r="V72" s="12"/>
      <c r="W72" s="12"/>
      <c r="X72" s="12"/>
      <c r="Y72" s="12"/>
      <c r="Z72" s="12"/>
    </row>
    <row r="73" spans="3:26" hidden="1" x14ac:dyDescent="0.15">
      <c r="C73" s="51" t="s">
        <v>250</v>
      </c>
      <c r="D73"/>
      <c r="E73"/>
      <c r="F73"/>
      <c r="G73" s="52">
        <f>G4</f>
        <v>1000000</v>
      </c>
      <c r="S73" s="12"/>
      <c r="T73" s="12"/>
      <c r="U73" s="12"/>
      <c r="V73" s="12"/>
      <c r="W73" s="12"/>
      <c r="X73" s="12"/>
      <c r="Y73" s="12"/>
      <c r="Z73" s="12"/>
    </row>
    <row r="74" spans="3:26" hidden="1" x14ac:dyDescent="0.15">
      <c r="C74" s="51" t="s">
        <v>310</v>
      </c>
      <c r="D74">
        <v>5</v>
      </c>
      <c r="E74">
        <f>IF(G43&gt;=20,E59,IF(AND(G43&gt;=15,G43&lt;=19),E60,IF(G43&lt;=14,E61)))</f>
        <v>20</v>
      </c>
      <c r="F74">
        <f>G4/1000</f>
        <v>1000</v>
      </c>
      <c r="G74" s="52">
        <f>D74*E74*F74</f>
        <v>100000</v>
      </c>
      <c r="S74" s="12"/>
      <c r="T74" s="12"/>
      <c r="U74" s="12"/>
      <c r="V74" s="12"/>
      <c r="W74" s="12"/>
      <c r="X74" s="12"/>
      <c r="Y74" s="12"/>
      <c r="Z74" s="12"/>
    </row>
    <row r="75" spans="3:26" hidden="1" x14ac:dyDescent="0.15">
      <c r="C75" s="51" t="s">
        <v>310</v>
      </c>
      <c r="D75">
        <f>G8-D74</f>
        <v>15</v>
      </c>
      <c r="E75">
        <f>IF(G43&gt;=20,G59,IF(AND(G43&gt;=15,G43&lt;=19),G60,IF(G43&lt;=14,G61)))</f>
        <v>66</v>
      </c>
      <c r="F75">
        <f>G4/1000</f>
        <v>1000</v>
      </c>
      <c r="G75" s="52">
        <f>D75*E75*F75</f>
        <v>990000</v>
      </c>
      <c r="S75" s="12"/>
      <c r="T75" s="12"/>
      <c r="U75" s="12"/>
      <c r="V75" s="12"/>
      <c r="W75" s="12"/>
      <c r="X75" s="12"/>
      <c r="Y75" s="12"/>
      <c r="Z75" s="12"/>
    </row>
    <row r="76" spans="3:26" hidden="1" x14ac:dyDescent="0.15">
      <c r="C76" s="51" t="s">
        <v>311</v>
      </c>
      <c r="D76">
        <f>G8-10</f>
        <v>10</v>
      </c>
      <c r="E76">
        <f>E68</f>
        <v>60</v>
      </c>
      <c r="F76">
        <f>G4/1000</f>
        <v>1000</v>
      </c>
      <c r="G76" s="52">
        <f>D76*E76*F76</f>
        <v>600000</v>
      </c>
      <c r="S76" s="12"/>
      <c r="T76" s="12"/>
      <c r="U76" s="12"/>
      <c r="V76" s="12"/>
      <c r="W76" s="12"/>
      <c r="X76" s="12"/>
      <c r="Y76" s="12"/>
      <c r="Z76" s="12"/>
    </row>
    <row r="77" spans="3:26" hidden="1" x14ac:dyDescent="0.15">
      <c r="C77" s="51" t="s">
        <v>312</v>
      </c>
      <c r="D77">
        <f>G8-10</f>
        <v>10</v>
      </c>
      <c r="E77">
        <f>E69</f>
        <v>10</v>
      </c>
      <c r="F77">
        <f>G4/1000</f>
        <v>1000</v>
      </c>
      <c r="G77" s="52">
        <f>D77*E77*F77</f>
        <v>100000</v>
      </c>
      <c r="S77" s="12"/>
      <c r="T77" s="12"/>
      <c r="U77" s="12"/>
      <c r="V77" s="12"/>
      <c r="W77" s="12"/>
      <c r="X77" s="12"/>
      <c r="Y77" s="12"/>
      <c r="Z77" s="12"/>
    </row>
    <row r="78" spans="3:26" hidden="1" x14ac:dyDescent="0.15">
      <c r="C78" s="53"/>
      <c r="D78" s="54"/>
      <c r="E78" s="54"/>
      <c r="F78" s="54"/>
      <c r="G78" s="55">
        <f>SUM(G73:G77)</f>
        <v>2790000</v>
      </c>
      <c r="S78" s="12"/>
      <c r="T78" s="12"/>
      <c r="U78" s="12"/>
      <c r="V78" s="12"/>
      <c r="W78" s="12"/>
      <c r="X78" s="12"/>
      <c r="Y78" s="12"/>
      <c r="Z78" s="12"/>
    </row>
    <row r="79" spans="3:26" hidden="1" x14ac:dyDescent="0.15">
      <c r="C79"/>
      <c r="D79"/>
      <c r="E79"/>
      <c r="F79"/>
      <c r="G79" s="56"/>
      <c r="S79" s="12"/>
      <c r="T79" s="12"/>
      <c r="U79" s="12"/>
      <c r="V79" s="12"/>
      <c r="W79" s="12"/>
      <c r="X79" s="12"/>
      <c r="Y79" s="12"/>
      <c r="Z79" s="12"/>
    </row>
    <row r="80" spans="3:26" hidden="1" x14ac:dyDescent="0.15">
      <c r="C80" s="48" t="s">
        <v>322</v>
      </c>
      <c r="D80" s="49"/>
      <c r="E80" s="49"/>
      <c r="F80" s="49"/>
      <c r="G80" s="50"/>
      <c r="S80" s="12"/>
      <c r="T80" s="12"/>
      <c r="U80" s="12"/>
      <c r="V80" s="12"/>
      <c r="W80" s="12"/>
      <c r="X80" s="12"/>
      <c r="Y80" s="12"/>
      <c r="Z80" s="12"/>
    </row>
    <row r="81" spans="3:26" hidden="1" x14ac:dyDescent="0.15">
      <c r="C81" s="51" t="s">
        <v>250</v>
      </c>
      <c r="D81"/>
      <c r="E81"/>
      <c r="F81"/>
      <c r="G81" s="52">
        <f>G4</f>
        <v>1000000</v>
      </c>
      <c r="S81" s="12"/>
      <c r="T81" s="12"/>
      <c r="U81" s="12"/>
      <c r="V81" s="12"/>
      <c r="W81" s="12"/>
      <c r="X81" s="12"/>
      <c r="Y81" s="12"/>
      <c r="Z81" s="12"/>
    </row>
    <row r="82" spans="3:26" hidden="1" x14ac:dyDescent="0.15">
      <c r="C82" s="51" t="s">
        <v>310</v>
      </c>
      <c r="D82">
        <v>5</v>
      </c>
      <c r="E82">
        <f>IF(G43&gt;=20,E64,IF(AND(G43&gt;=15,G43&lt;=19),E65,IF(G43&lt;=14,E66)))</f>
        <v>19</v>
      </c>
      <c r="F82">
        <f>G4/1000</f>
        <v>1000</v>
      </c>
      <c r="G82" s="52">
        <f>D82*E82*F82</f>
        <v>95000</v>
      </c>
      <c r="S82" s="12"/>
      <c r="T82" s="12"/>
      <c r="U82" s="12"/>
      <c r="V82" s="12"/>
      <c r="W82" s="12"/>
      <c r="X82" s="12"/>
      <c r="Y82" s="12"/>
      <c r="Z82" s="12"/>
    </row>
    <row r="83" spans="3:26" hidden="1" x14ac:dyDescent="0.15">
      <c r="C83" s="51" t="s">
        <v>310</v>
      </c>
      <c r="D83">
        <f>G8-D82</f>
        <v>15</v>
      </c>
      <c r="E83">
        <f>IF(G43&gt;=20,G64,IF(AND(G43&gt;=15,G43&lt;=19),G65,IF(G43&lt;=14,E66)))</f>
        <v>19</v>
      </c>
      <c r="F83">
        <f>G4/1000</f>
        <v>1000</v>
      </c>
      <c r="G83" s="52">
        <f>D83*E83*F83</f>
        <v>285000</v>
      </c>
      <c r="S83" s="12"/>
      <c r="T83" s="12"/>
      <c r="U83" s="12"/>
      <c r="V83" s="12"/>
      <c r="W83" s="12"/>
      <c r="X83" s="12"/>
      <c r="Y83" s="12"/>
      <c r="Z83" s="12"/>
    </row>
    <row r="84" spans="3:26" hidden="1" x14ac:dyDescent="0.15">
      <c r="C84" s="51" t="s">
        <v>312</v>
      </c>
      <c r="D84">
        <f>G8-10</f>
        <v>10</v>
      </c>
      <c r="E84">
        <f>E69</f>
        <v>10</v>
      </c>
      <c r="F84">
        <f>G4/1000</f>
        <v>1000</v>
      </c>
      <c r="G84" s="52">
        <f>D84*E84*F84</f>
        <v>100000</v>
      </c>
      <c r="S84" s="12"/>
      <c r="T84" s="12"/>
      <c r="U84" s="12"/>
      <c r="V84" s="12"/>
      <c r="W84" s="12"/>
      <c r="X84" s="12"/>
      <c r="Y84" s="12"/>
      <c r="Z84" s="12"/>
    </row>
    <row r="85" spans="3:26" hidden="1" x14ac:dyDescent="0.15">
      <c r="C85" s="53"/>
      <c r="D85" s="54"/>
      <c r="E85" s="54"/>
      <c r="F85" s="54"/>
      <c r="G85" s="55">
        <f>SUM(G81:G84)</f>
        <v>1480000</v>
      </c>
      <c r="S85" s="12"/>
      <c r="T85" s="12"/>
      <c r="U85" s="12"/>
      <c r="V85" s="12"/>
      <c r="W85" s="12"/>
      <c r="X85" s="12"/>
      <c r="Y85" s="12"/>
      <c r="Z85" s="12"/>
    </row>
    <row r="86" spans="3:26" hidden="1" x14ac:dyDescent="0.15">
      <c r="C86"/>
      <c r="D86"/>
      <c r="E86"/>
      <c r="F86"/>
      <c r="G86"/>
      <c r="S86" s="12"/>
      <c r="T86" s="12"/>
      <c r="U86" s="12"/>
      <c r="V86" s="12"/>
      <c r="W86" s="12"/>
      <c r="X86" s="12"/>
      <c r="Y86" s="12"/>
      <c r="Z86" s="12"/>
    </row>
    <row r="87" spans="3:26" hidden="1" x14ac:dyDescent="0.15">
      <c r="C87" s="48" t="s">
        <v>323</v>
      </c>
      <c r="D87" s="49"/>
      <c r="E87" s="49"/>
      <c r="F87" s="49"/>
      <c r="G87" s="50"/>
      <c r="S87" s="12"/>
      <c r="T87" s="12"/>
      <c r="U87" s="12"/>
      <c r="V87" s="12"/>
      <c r="W87" s="12"/>
      <c r="X87" s="12"/>
      <c r="Y87" s="12"/>
      <c r="Z87" s="12"/>
    </row>
    <row r="88" spans="3:26" hidden="1" x14ac:dyDescent="0.15">
      <c r="C88" s="51" t="s">
        <v>250</v>
      </c>
      <c r="D88"/>
      <c r="E88"/>
      <c r="F88"/>
      <c r="G88" s="52">
        <f>G4</f>
        <v>1000000</v>
      </c>
      <c r="S88" s="12"/>
      <c r="T88" s="12"/>
      <c r="U88" s="12"/>
      <c r="V88" s="12"/>
      <c r="W88" s="12"/>
      <c r="X88" s="12"/>
      <c r="Y88" s="12"/>
      <c r="Z88" s="12"/>
    </row>
    <row r="89" spans="3:26" hidden="1" x14ac:dyDescent="0.15">
      <c r="C89" s="51" t="s">
        <v>310</v>
      </c>
      <c r="D89">
        <v>5</v>
      </c>
      <c r="E89">
        <v>56</v>
      </c>
      <c r="F89">
        <f>G4/1000</f>
        <v>1000</v>
      </c>
      <c r="G89" s="52">
        <f>D89*E89*F89</f>
        <v>280000</v>
      </c>
      <c r="S89" s="12"/>
      <c r="T89" s="12"/>
      <c r="U89" s="12"/>
      <c r="V89" s="12"/>
      <c r="W89" s="12"/>
      <c r="X89" s="12"/>
      <c r="Y89" s="12"/>
      <c r="Z89" s="12"/>
    </row>
    <row r="90" spans="3:26" hidden="1" x14ac:dyDescent="0.15">
      <c r="C90" s="51" t="s">
        <v>310</v>
      </c>
      <c r="D90">
        <f>E96-5</f>
        <v>56</v>
      </c>
      <c r="E90">
        <v>102</v>
      </c>
      <c r="F90">
        <f>G4/1000</f>
        <v>1000</v>
      </c>
      <c r="G90" s="52">
        <f>D90*E90*F90</f>
        <v>5712000</v>
      </c>
      <c r="S90" s="12"/>
      <c r="T90" s="12"/>
      <c r="U90" s="12"/>
      <c r="V90" s="12"/>
      <c r="W90" s="12"/>
      <c r="X90" s="12"/>
      <c r="Y90" s="12"/>
      <c r="Z90" s="12"/>
    </row>
    <row r="91" spans="3:26" hidden="1" x14ac:dyDescent="0.15">
      <c r="C91" s="51" t="s">
        <v>311</v>
      </c>
      <c r="D91">
        <f>G96</f>
        <v>20</v>
      </c>
      <c r="E91">
        <f>E68</f>
        <v>60</v>
      </c>
      <c r="F91">
        <f>G4/1000</f>
        <v>1000</v>
      </c>
      <c r="G91" s="52">
        <f>D91*E91*F91</f>
        <v>1200000</v>
      </c>
      <c r="S91" s="12"/>
      <c r="T91" s="12"/>
      <c r="U91" s="12"/>
      <c r="V91" s="12"/>
      <c r="W91" s="12"/>
      <c r="X91" s="12"/>
      <c r="Y91" s="12"/>
      <c r="Z91" s="12"/>
    </row>
    <row r="92" spans="3:26" hidden="1" x14ac:dyDescent="0.15">
      <c r="C92" s="51" t="s">
        <v>312</v>
      </c>
      <c r="D92">
        <f>G96</f>
        <v>20</v>
      </c>
      <c r="E92">
        <f>E69</f>
        <v>10</v>
      </c>
      <c r="F92">
        <f>G4/1000</f>
        <v>1000</v>
      </c>
      <c r="G92" s="52">
        <f>D92*E92*F92</f>
        <v>200000</v>
      </c>
      <c r="S92" s="12"/>
      <c r="T92" s="12"/>
      <c r="U92" s="12"/>
      <c r="V92" s="12"/>
      <c r="W92" s="12"/>
      <c r="X92" s="12"/>
      <c r="Y92" s="12"/>
      <c r="Z92" s="12"/>
    </row>
    <row r="93" spans="3:26" hidden="1" x14ac:dyDescent="0.15">
      <c r="C93" s="53"/>
      <c r="D93" s="54"/>
      <c r="E93" s="54"/>
      <c r="F93" s="54"/>
      <c r="G93" s="55">
        <f>SUM(G88:G92)</f>
        <v>8392000</v>
      </c>
      <c r="S93" s="12"/>
      <c r="T93" s="12"/>
      <c r="U93" s="12"/>
      <c r="V93" s="12"/>
      <c r="W93" s="12"/>
      <c r="X93" s="12"/>
      <c r="Y93" s="12"/>
      <c r="Z93" s="12"/>
    </row>
    <row r="94" spans="3:26" hidden="1" x14ac:dyDescent="0.15">
      <c r="C94"/>
      <c r="D94"/>
      <c r="E94"/>
      <c r="F94"/>
      <c r="G94"/>
      <c r="S94" s="12"/>
      <c r="T94" s="12"/>
      <c r="U94" s="12"/>
      <c r="V94" s="12"/>
      <c r="W94" s="12"/>
      <c r="X94" s="12"/>
      <c r="Y94" s="12"/>
      <c r="Z94" s="12"/>
    </row>
    <row r="95" spans="3:26" hidden="1" x14ac:dyDescent="0.15">
      <c r="C95" s="375"/>
      <c r="D95" s="49"/>
      <c r="E95" s="49"/>
      <c r="F95" s="49"/>
      <c r="G95" s="50"/>
      <c r="S95" s="12"/>
      <c r="T95" s="12"/>
      <c r="U95" s="12"/>
      <c r="V95" s="12"/>
      <c r="W95" s="12"/>
      <c r="X95" s="12"/>
      <c r="Y95" s="12"/>
      <c r="Z95" s="12"/>
    </row>
    <row r="96" spans="3:26" hidden="1" x14ac:dyDescent="0.15">
      <c r="C96" s="51" t="s">
        <v>324</v>
      </c>
      <c r="D96"/>
      <c r="E96">
        <f>85-G6</f>
        <v>61</v>
      </c>
      <c r="F96">
        <f>E96-10</f>
        <v>51</v>
      </c>
      <c r="G96" s="52">
        <f>IF(F96&gt;=20,20,F96)</f>
        <v>20</v>
      </c>
      <c r="S96" s="12"/>
      <c r="T96" s="12"/>
      <c r="U96" s="12"/>
      <c r="V96" s="12"/>
      <c r="W96" s="12"/>
      <c r="X96" s="12"/>
      <c r="Y96" s="12"/>
      <c r="Z96" s="12"/>
    </row>
    <row r="97" spans="1:26" hidden="1" x14ac:dyDescent="0.15">
      <c r="C97" s="53"/>
      <c r="D97" s="54"/>
      <c r="E97" s="54"/>
      <c r="F97" s="54"/>
      <c r="G97" s="376"/>
      <c r="S97" s="12"/>
      <c r="T97" s="12"/>
      <c r="U97" s="12"/>
      <c r="V97" s="12"/>
      <c r="W97" s="12"/>
      <c r="X97" s="12"/>
      <c r="Y97" s="12"/>
      <c r="Z97" s="12"/>
    </row>
    <row r="98" spans="1:26" hidden="1" x14ac:dyDescent="0.15">
      <c r="C98" s="377"/>
      <c r="D98" s="66"/>
      <c r="E98" s="66" t="s">
        <v>578</v>
      </c>
      <c r="F98" s="66" t="s">
        <v>579</v>
      </c>
      <c r="G98" s="67" t="s">
        <v>580</v>
      </c>
      <c r="S98" s="12"/>
      <c r="T98" s="12"/>
      <c r="U98" s="12"/>
      <c r="V98" s="12"/>
      <c r="W98" s="12"/>
      <c r="X98" s="12"/>
      <c r="Y98" s="12"/>
      <c r="Z98" s="12"/>
    </row>
    <row r="99" spans="1:26" hidden="1" x14ac:dyDescent="0.15">
      <c r="C99" s="378" t="s">
        <v>577</v>
      </c>
      <c r="D99" s="11">
        <f>IF(G5=1,E99,IF(AND(G5=2,G8=70),G102,IF(OR(G5=9,G5=25),G99,F99)))</f>
        <v>975600</v>
      </c>
      <c r="E99" s="11">
        <f>E96*J5</f>
        <v>2975580</v>
      </c>
      <c r="F99" s="11">
        <f>G8*J5</f>
        <v>975600</v>
      </c>
      <c r="G99" s="379">
        <f>J5</f>
        <v>48780</v>
      </c>
      <c r="S99" s="12"/>
      <c r="T99" s="12"/>
      <c r="U99" s="12"/>
      <c r="V99" s="12"/>
      <c r="W99" s="12"/>
      <c r="X99" s="12"/>
      <c r="Y99" s="12"/>
      <c r="Z99" s="12"/>
    </row>
    <row r="100" spans="1:26" hidden="1" x14ac:dyDescent="0.15">
      <c r="C100" s="380"/>
      <c r="D100" s="39"/>
      <c r="E100" s="39"/>
      <c r="F100" s="39"/>
      <c r="G100" s="69"/>
      <c r="S100" s="12"/>
      <c r="T100" s="12"/>
      <c r="U100" s="12"/>
      <c r="V100" s="12"/>
      <c r="W100" s="12"/>
      <c r="X100" s="12"/>
      <c r="Y100" s="12"/>
      <c r="Z100" s="12"/>
    </row>
    <row r="101" spans="1:26" hidden="1" x14ac:dyDescent="0.15">
      <c r="C101" s="45">
        <f>IF(G4&gt;=10000000,10000000,G4)</f>
        <v>1000000</v>
      </c>
      <c r="E101" s="377" t="s">
        <v>581</v>
      </c>
      <c r="F101" s="66"/>
      <c r="G101" s="67"/>
      <c r="S101" s="12"/>
      <c r="T101" s="12"/>
      <c r="U101" s="12"/>
      <c r="V101" s="12"/>
      <c r="W101" s="12"/>
      <c r="X101" s="12"/>
      <c r="Y101" s="12"/>
      <c r="Z101" s="12"/>
    </row>
    <row r="102" spans="1:26" hidden="1" x14ac:dyDescent="0.15">
      <c r="E102" s="380">
        <f>70-G6</f>
        <v>46</v>
      </c>
      <c r="F102" s="39"/>
      <c r="G102" s="69">
        <f>E102*J5</f>
        <v>2243880</v>
      </c>
      <c r="S102" s="12"/>
      <c r="T102" s="12"/>
      <c r="U102" s="12"/>
      <c r="V102" s="12"/>
      <c r="W102" s="12"/>
      <c r="X102" s="12"/>
      <c r="Y102" s="12"/>
      <c r="Z102" s="12"/>
    </row>
    <row r="103" spans="1:26" hidden="1" x14ac:dyDescent="0.15">
      <c r="S103" s="12"/>
      <c r="T103" s="12"/>
      <c r="U103" s="12"/>
      <c r="V103" s="12"/>
      <c r="W103" s="12"/>
      <c r="X103" s="12"/>
      <c r="Y103" s="12"/>
      <c r="Z103" s="12"/>
    </row>
    <row r="104" spans="1:26" hidden="1" x14ac:dyDescent="0.15">
      <c r="S104" s="12"/>
      <c r="T104" s="12"/>
      <c r="U104" s="12"/>
      <c r="V104" s="12"/>
      <c r="W104" s="12"/>
      <c r="X104" s="12"/>
      <c r="Y104" s="12"/>
      <c r="Z104" s="12"/>
    </row>
    <row r="105" spans="1:26" hidden="1" x14ac:dyDescent="0.15">
      <c r="S105" s="12"/>
      <c r="T105" s="12"/>
      <c r="U105" s="12"/>
      <c r="V105" s="12"/>
      <c r="W105" s="12"/>
      <c r="X105" s="12"/>
      <c r="Y105" s="12"/>
      <c r="Z105" s="12"/>
    </row>
    <row r="106" spans="1:26" hidden="1" x14ac:dyDescent="0.15">
      <c r="S106" s="12"/>
      <c r="T106" s="12"/>
      <c r="U106" s="12"/>
      <c r="V106" s="12"/>
      <c r="W106" s="12"/>
      <c r="X106" s="12"/>
      <c r="Y106" s="12"/>
      <c r="Z106" s="12"/>
    </row>
    <row r="107" spans="1:26" hidden="1" x14ac:dyDescent="0.15">
      <c r="S107" s="12"/>
      <c r="T107" s="12"/>
      <c r="U107" s="12"/>
      <c r="V107" s="12"/>
      <c r="W107" s="12"/>
      <c r="X107" s="12"/>
      <c r="Y107" s="12"/>
      <c r="Z107" s="12"/>
    </row>
    <row r="108" spans="1:26" hidden="1" x14ac:dyDescent="0.15">
      <c r="A108" s="196">
        <v>1</v>
      </c>
      <c r="C108" s="229" t="s">
        <v>415</v>
      </c>
      <c r="S108" s="12"/>
      <c r="T108" s="12"/>
      <c r="U108" s="12"/>
      <c r="V108" s="12"/>
      <c r="W108" s="12"/>
      <c r="X108" s="12"/>
      <c r="Y108" s="12"/>
      <c r="Z108" s="12"/>
    </row>
    <row r="109" spans="1:26" hidden="1" x14ac:dyDescent="0.15">
      <c r="A109"/>
      <c r="C109"/>
      <c r="S109" s="12"/>
      <c r="T109" s="12"/>
      <c r="U109" s="12"/>
      <c r="V109" s="12"/>
      <c r="W109" s="12"/>
      <c r="X109" s="12"/>
      <c r="Y109" s="12"/>
      <c r="Z109" s="12"/>
    </row>
    <row r="110" spans="1:26" hidden="1" x14ac:dyDescent="0.15">
      <c r="A110" s="196">
        <v>3</v>
      </c>
      <c r="C110" t="s">
        <v>407</v>
      </c>
      <c r="S110" s="12"/>
      <c r="T110" s="12"/>
      <c r="U110" s="12"/>
      <c r="V110" s="12"/>
      <c r="W110" s="12"/>
      <c r="X110" s="12"/>
      <c r="Y110" s="12"/>
      <c r="Z110" s="12"/>
    </row>
    <row r="111" spans="1:26" hidden="1" x14ac:dyDescent="0.15">
      <c r="A111"/>
      <c r="C111"/>
      <c r="S111" s="12"/>
      <c r="T111" s="12"/>
      <c r="U111" s="12"/>
      <c r="V111" s="12"/>
      <c r="W111" s="12"/>
      <c r="X111" s="12"/>
      <c r="Y111" s="12"/>
      <c r="Z111" s="12"/>
    </row>
    <row r="112" spans="1:26" hidden="1" x14ac:dyDescent="0.15">
      <c r="A112" s="196">
        <v>5</v>
      </c>
      <c r="C112" t="s">
        <v>408</v>
      </c>
      <c r="S112" s="12"/>
      <c r="T112" s="12"/>
      <c r="U112" s="12"/>
      <c r="V112" s="12"/>
      <c r="W112" s="12"/>
      <c r="X112" s="12"/>
      <c r="Y112" s="12"/>
      <c r="Z112" s="12"/>
    </row>
    <row r="113" spans="1:26" hidden="1" x14ac:dyDescent="0.15">
      <c r="A113" s="196"/>
      <c r="C113"/>
      <c r="S113" s="12"/>
      <c r="T113" s="12"/>
      <c r="U113" s="12"/>
      <c r="V113" s="12"/>
      <c r="W113" s="12"/>
      <c r="X113" s="12"/>
      <c r="Y113" s="12"/>
      <c r="Z113" s="12"/>
    </row>
    <row r="114" spans="1:26" hidden="1" x14ac:dyDescent="0.15">
      <c r="A114" s="196">
        <v>7</v>
      </c>
      <c r="C114" s="229" t="s">
        <v>416</v>
      </c>
      <c r="S114" s="12"/>
      <c r="T114" s="12"/>
      <c r="U114" s="12"/>
      <c r="V114" s="12"/>
      <c r="W114" s="12"/>
      <c r="X114" s="12"/>
      <c r="Y114" s="12"/>
      <c r="Z114" s="12"/>
    </row>
    <row r="115" spans="1:26" hidden="1" x14ac:dyDescent="0.15">
      <c r="A115" s="196"/>
      <c r="C115"/>
      <c r="S115" s="12"/>
      <c r="T115" s="12"/>
      <c r="U115" s="12"/>
      <c r="V115" s="12"/>
      <c r="W115" s="12"/>
      <c r="X115" s="12"/>
      <c r="Y115" s="12"/>
      <c r="Z115" s="12"/>
    </row>
    <row r="116" spans="1:26" hidden="1" x14ac:dyDescent="0.15">
      <c r="A116" s="196">
        <v>19</v>
      </c>
      <c r="C116" t="s">
        <v>409</v>
      </c>
      <c r="S116" s="12"/>
      <c r="T116" s="12"/>
      <c r="U116" s="12"/>
      <c r="V116" s="12"/>
      <c r="W116" s="12"/>
      <c r="X116" s="12"/>
      <c r="Y116" s="12"/>
      <c r="Z116" s="12"/>
    </row>
    <row r="117" spans="1:26" hidden="1" x14ac:dyDescent="0.15">
      <c r="A117" s="196"/>
      <c r="C117"/>
      <c r="S117" s="12"/>
      <c r="T117" s="12"/>
      <c r="U117" s="12"/>
      <c r="V117" s="12"/>
      <c r="W117" s="12"/>
      <c r="X117" s="12"/>
      <c r="Y117" s="12"/>
      <c r="Z117" s="12"/>
    </row>
    <row r="118" spans="1:26" hidden="1" x14ac:dyDescent="0.15">
      <c r="A118" s="196">
        <v>36</v>
      </c>
      <c r="C118" t="s">
        <v>410</v>
      </c>
      <c r="S118" s="12"/>
      <c r="T118" s="12"/>
      <c r="U118" s="12"/>
      <c r="V118" s="12"/>
      <c r="W118" s="12"/>
      <c r="X118" s="12"/>
      <c r="Y118" s="12"/>
      <c r="Z118" s="12"/>
    </row>
    <row r="119" spans="1:26" hidden="1" x14ac:dyDescent="0.15">
      <c r="A119" s="196"/>
      <c r="C119"/>
      <c r="S119" s="12"/>
      <c r="T119" s="12"/>
      <c r="U119" s="12"/>
      <c r="V119" s="12"/>
      <c r="W119" s="12"/>
      <c r="X119" s="12"/>
      <c r="Y119" s="12"/>
      <c r="Z119" s="12"/>
    </row>
    <row r="120" spans="1:26" hidden="1" x14ac:dyDescent="0.15">
      <c r="A120" s="196">
        <v>75</v>
      </c>
      <c r="C120" t="s">
        <v>411</v>
      </c>
      <c r="S120" s="12"/>
      <c r="T120" s="12"/>
      <c r="U120" s="12"/>
      <c r="V120" s="12"/>
      <c r="W120" s="12"/>
      <c r="X120" s="12"/>
      <c r="Y120" s="12"/>
      <c r="Z120" s="12"/>
    </row>
    <row r="121" spans="1:26" hidden="1" x14ac:dyDescent="0.15">
      <c r="A121" s="196"/>
      <c r="C121"/>
      <c r="S121" s="12"/>
      <c r="T121" s="12"/>
      <c r="U121" s="12"/>
      <c r="V121" s="12"/>
      <c r="W121" s="12"/>
      <c r="X121" s="12"/>
      <c r="Y121" s="12"/>
      <c r="Z121" s="12"/>
    </row>
    <row r="122" spans="1:26" hidden="1" x14ac:dyDescent="0.15">
      <c r="A122" s="196">
        <v>76</v>
      </c>
      <c r="C122" t="s">
        <v>412</v>
      </c>
      <c r="S122" s="12"/>
      <c r="T122" s="12"/>
      <c r="U122" s="12"/>
      <c r="V122" s="12"/>
      <c r="W122" s="12"/>
      <c r="X122" s="12"/>
      <c r="Y122" s="12"/>
      <c r="Z122" s="12"/>
    </row>
    <row r="123" spans="1:26" hidden="1" x14ac:dyDescent="0.15">
      <c r="A123"/>
      <c r="C123"/>
      <c r="S123" s="12"/>
      <c r="T123" s="12"/>
      <c r="U123" s="12"/>
      <c r="V123" s="12"/>
      <c r="W123" s="12"/>
      <c r="X123" s="12"/>
      <c r="Y123" s="12"/>
      <c r="Z123" s="12"/>
    </row>
    <row r="124" spans="1:26" hidden="1" x14ac:dyDescent="0.15">
      <c r="A124" s="196">
        <v>78</v>
      </c>
      <c r="C124" t="s">
        <v>413</v>
      </c>
      <c r="S124" s="12"/>
      <c r="T124" s="12"/>
      <c r="U124" s="12"/>
      <c r="V124" s="12"/>
      <c r="W124" s="12"/>
      <c r="X124" s="12"/>
      <c r="Y124" s="12"/>
      <c r="Z124" s="12"/>
    </row>
    <row r="125" spans="1:26" hidden="1" x14ac:dyDescent="0.15">
      <c r="S125" s="12"/>
      <c r="T125" s="12"/>
      <c r="U125" s="12"/>
      <c r="V125" s="12"/>
      <c r="W125" s="12"/>
      <c r="X125" s="12"/>
      <c r="Y125" s="12"/>
      <c r="Z125" s="12"/>
    </row>
    <row r="126" spans="1:26" hidden="1" x14ac:dyDescent="0.15">
      <c r="A126" s="11">
        <v>2</v>
      </c>
      <c r="C126" s="11" t="s">
        <v>519</v>
      </c>
      <c r="S126" s="12"/>
      <c r="T126" s="12"/>
      <c r="U126" s="12"/>
      <c r="V126" s="12"/>
      <c r="W126" s="12"/>
      <c r="X126" s="12"/>
      <c r="Y126" s="12"/>
      <c r="Z126" s="12"/>
    </row>
    <row r="127" spans="1:26" hidden="1" x14ac:dyDescent="0.15">
      <c r="S127" s="12"/>
      <c r="T127" s="12"/>
      <c r="U127" s="12"/>
      <c r="V127" s="12"/>
      <c r="W127" s="12"/>
      <c r="X127" s="12"/>
      <c r="Y127" s="12"/>
      <c r="Z127" s="12"/>
    </row>
    <row r="128" spans="1:26" hidden="1" x14ac:dyDescent="0.15">
      <c r="A128" s="11">
        <v>4</v>
      </c>
      <c r="C128" s="11" t="s">
        <v>520</v>
      </c>
      <c r="S128" s="12"/>
      <c r="T128" s="12"/>
      <c r="U128" s="12"/>
      <c r="V128" s="12"/>
      <c r="W128" s="12"/>
      <c r="X128" s="12"/>
      <c r="Y128" s="12"/>
      <c r="Z128" s="12"/>
    </row>
    <row r="129" spans="1:26" hidden="1" x14ac:dyDescent="0.15">
      <c r="S129" s="12"/>
      <c r="T129" s="12"/>
      <c r="U129" s="12"/>
      <c r="V129" s="12"/>
      <c r="W129" s="12"/>
      <c r="X129" s="12"/>
      <c r="Y129" s="12"/>
      <c r="Z129" s="12"/>
    </row>
    <row r="130" spans="1:26" hidden="1" x14ac:dyDescent="0.15">
      <c r="A130" s="11">
        <v>6</v>
      </c>
      <c r="C130" s="335" t="s">
        <v>522</v>
      </c>
      <c r="S130" s="12"/>
      <c r="T130" s="12"/>
      <c r="U130" s="12"/>
      <c r="V130" s="12"/>
      <c r="W130" s="12"/>
      <c r="X130" s="12"/>
      <c r="Y130" s="12"/>
      <c r="Z130" s="12"/>
    </row>
    <row r="131" spans="1:26" hidden="1" x14ac:dyDescent="0.15">
      <c r="S131" s="12"/>
      <c r="T131" s="12"/>
      <c r="U131" s="12"/>
      <c r="V131" s="12"/>
      <c r="W131" s="12"/>
      <c r="X131" s="12"/>
      <c r="Y131" s="12"/>
      <c r="Z131" s="12"/>
    </row>
    <row r="132" spans="1:26" hidden="1" x14ac:dyDescent="0.15">
      <c r="A132" s="11">
        <v>9</v>
      </c>
      <c r="C132" s="335" t="s">
        <v>521</v>
      </c>
      <c r="S132" s="12"/>
      <c r="T132" s="12"/>
      <c r="U132" s="12"/>
      <c r="V132" s="12"/>
      <c r="W132" s="12"/>
      <c r="X132" s="12"/>
      <c r="Y132" s="12"/>
      <c r="Z132" s="12"/>
    </row>
    <row r="133" spans="1:26" hidden="1" x14ac:dyDescent="0.15">
      <c r="S133" s="12"/>
      <c r="T133" s="12"/>
      <c r="U133" s="12"/>
      <c r="V133" s="12"/>
      <c r="W133" s="12"/>
      <c r="X133" s="12"/>
      <c r="Y133" s="12"/>
      <c r="Z133" s="12"/>
    </row>
    <row r="134" spans="1:26" hidden="1" x14ac:dyDescent="0.15">
      <c r="A134" s="11">
        <v>12</v>
      </c>
      <c r="C134" s="11" t="s">
        <v>523</v>
      </c>
      <c r="S134" s="12"/>
      <c r="T134" s="12"/>
      <c r="U134" s="12"/>
      <c r="V134" s="12"/>
      <c r="W134" s="12"/>
      <c r="X134" s="12"/>
      <c r="Y134" s="12"/>
      <c r="Z134" s="12"/>
    </row>
    <row r="135" spans="1:26" hidden="1" x14ac:dyDescent="0.15">
      <c r="S135" s="12"/>
      <c r="T135" s="12"/>
      <c r="U135" s="12"/>
      <c r="V135" s="12"/>
      <c r="W135" s="12"/>
      <c r="X135" s="12"/>
      <c r="Y135" s="12"/>
      <c r="Z135" s="12"/>
    </row>
    <row r="136" spans="1:26" hidden="1" x14ac:dyDescent="0.15">
      <c r="A136" s="11">
        <v>17</v>
      </c>
      <c r="C136" s="11" t="s">
        <v>524</v>
      </c>
      <c r="S136" s="12"/>
      <c r="T136" s="12"/>
      <c r="U136" s="12"/>
      <c r="V136" s="12"/>
      <c r="W136" s="12"/>
      <c r="X136" s="12"/>
      <c r="Y136" s="12"/>
      <c r="Z136" s="12"/>
    </row>
    <row r="137" spans="1:26" hidden="1" x14ac:dyDescent="0.15">
      <c r="S137" s="12"/>
      <c r="T137" s="12"/>
      <c r="U137" s="12"/>
      <c r="V137" s="12"/>
      <c r="W137" s="12"/>
      <c r="X137" s="12"/>
      <c r="Y137" s="12"/>
      <c r="Z137" s="12"/>
    </row>
    <row r="138" spans="1:26" hidden="1" x14ac:dyDescent="0.15">
      <c r="A138" s="11">
        <v>18</v>
      </c>
      <c r="C138" s="11" t="s">
        <v>525</v>
      </c>
      <c r="S138" s="12"/>
      <c r="T138" s="12"/>
      <c r="U138" s="12"/>
      <c r="V138" s="12"/>
      <c r="W138" s="12"/>
      <c r="X138" s="12"/>
      <c r="Y138" s="12"/>
      <c r="Z138" s="12"/>
    </row>
    <row r="139" spans="1:26" hidden="1" x14ac:dyDescent="0.15">
      <c r="S139" s="12"/>
      <c r="T139" s="12"/>
      <c r="U139" s="12"/>
      <c r="V139" s="12"/>
      <c r="W139" s="12"/>
      <c r="X139" s="12"/>
      <c r="Y139" s="12"/>
      <c r="Z139" s="12"/>
    </row>
    <row r="140" spans="1:26" hidden="1" x14ac:dyDescent="0.15">
      <c r="A140" s="11">
        <v>24</v>
      </c>
      <c r="C140" s="11" t="s">
        <v>526</v>
      </c>
      <c r="S140" s="12"/>
      <c r="T140" s="12"/>
      <c r="U140" s="12"/>
      <c r="V140" s="12"/>
      <c r="W140" s="12"/>
      <c r="X140" s="12"/>
      <c r="Y140" s="12"/>
      <c r="Z140" s="12"/>
    </row>
    <row r="141" spans="1:26" hidden="1" x14ac:dyDescent="0.15">
      <c r="S141" s="12"/>
      <c r="T141" s="12"/>
      <c r="U141" s="12"/>
      <c r="V141" s="12"/>
      <c r="W141" s="12"/>
      <c r="X141" s="12"/>
      <c r="Y141" s="12"/>
      <c r="Z141" s="12"/>
    </row>
    <row r="142" spans="1:26" hidden="1" x14ac:dyDescent="0.15">
      <c r="A142" s="11">
        <v>25</v>
      </c>
      <c r="C142" s="11" t="s">
        <v>527</v>
      </c>
      <c r="S142" s="12"/>
      <c r="T142" s="12"/>
      <c r="U142" s="12"/>
      <c r="V142" s="12"/>
      <c r="W142" s="12"/>
      <c r="X142" s="12"/>
      <c r="Y142" s="12"/>
      <c r="Z142" s="12"/>
    </row>
    <row r="143" spans="1:26" hidden="1" x14ac:dyDescent="0.15">
      <c r="S143" s="12"/>
      <c r="T143" s="12"/>
      <c r="U143" s="12"/>
      <c r="V143" s="12"/>
      <c r="W143" s="12"/>
      <c r="X143" s="12"/>
      <c r="Y143" s="12"/>
      <c r="Z143" s="12"/>
    </row>
    <row r="144" spans="1:26" hidden="1" x14ac:dyDescent="0.15">
      <c r="A144" s="11">
        <v>74</v>
      </c>
      <c r="C144" s="11" t="s">
        <v>529</v>
      </c>
      <c r="S144" s="12"/>
      <c r="T144" s="12"/>
      <c r="U144" s="12"/>
      <c r="V144" s="12"/>
      <c r="W144" s="12"/>
      <c r="X144" s="12"/>
      <c r="Y144" s="12"/>
      <c r="Z144" s="12"/>
    </row>
    <row r="145" spans="2:26" ht="14" hidden="1" thickBot="1" x14ac:dyDescent="0.2">
      <c r="S145" s="12"/>
      <c r="T145" s="12"/>
      <c r="U145" s="12"/>
      <c r="V145" s="12"/>
      <c r="W145" s="12"/>
      <c r="X145" s="12"/>
      <c r="Y145" s="12"/>
      <c r="Z145" s="12"/>
    </row>
    <row r="146" spans="2:26" hidden="1" x14ac:dyDescent="0.15">
      <c r="B146" s="19"/>
      <c r="C146" s="20"/>
      <c r="D146" s="20"/>
      <c r="E146" s="20"/>
      <c r="F146" s="20"/>
      <c r="G146" s="20"/>
      <c r="H146" s="20"/>
      <c r="I146" s="20"/>
      <c r="J146" s="20"/>
      <c r="K146" s="20"/>
      <c r="L146" s="20"/>
      <c r="M146" s="20"/>
      <c r="N146" s="20"/>
      <c r="O146" s="21"/>
      <c r="S146" s="12"/>
      <c r="T146" s="12"/>
      <c r="U146" s="12"/>
      <c r="V146" s="12"/>
      <c r="W146" s="12"/>
      <c r="X146" s="12"/>
      <c r="Y146" s="12"/>
      <c r="Z146" s="12"/>
    </row>
    <row r="147" spans="2:26" hidden="1" x14ac:dyDescent="0.15">
      <c r="B147" s="22"/>
      <c r="C147" s="336" t="str">
        <f>IF(AND(G4&gt;=2500001,G4&lt;=4000000,G6&gt;=18,G6&lt;=40),"Non Medical",IF(AND(G4&gt;=1800001,G4&lt;=2500000,G6&gt;=18,G6&lt;=40),"Non Medical",IF(AND(G4&gt;=1500001,G4&lt;=1800000,G6&gt;=18,G6&lt;=45),"Non Medical",IF(AND(G4&gt;=900001,G4&lt;=1500000,G6&gt;=18,G6&lt;=50),"Non Medical",IF(AND(G4&gt;=600001,G4&lt;=900000,G6&gt;=18,G6&lt;=50),"Non Medical",IF(AND(G4&lt;=600000,G6&gt;=18,G6&lt;=55),"Non Medical",D147))))))</f>
        <v>Non Medical</v>
      </c>
      <c r="D147" s="337" t="str">
        <f>IF(AND(G4&gt;=10000000,G6&gt;=18,G6&lt;=60),D160,IF(AND(G4&gt;=10000000,G6&gt;=61,G6&lt;=65),I160,IF(AND(G4&gt;=5000001,G4&lt;=9999999,G6&gt;=18,G6&lt;=60),D159,IF(AND(G4&gt;=5000001,G4&lt;=9999999,G6&gt;=61,G6&lt;=65),I159,E147))))</f>
        <v/>
      </c>
      <c r="E147" s="337" t="str">
        <f>IF(AND(G4&gt;=4000001,G4&lt;=5000000,G6&gt;=18,G6&lt;=60),D158,IF(AND(G4&gt;=4000001,G4&lt;=5000000,G6&gt;=61,G6&lt;=65),I158,IF(AND(G4&gt;=2500001,G4&lt;=4000000,G6&gt;=41,G6&lt;=60),E157,IF(AND(G4&gt;=2500001,G4&lt;=4000000,G6&gt;=61,G6&lt;=65),I157,F147))))</f>
        <v/>
      </c>
      <c r="F147" s="337" t="str">
        <f>IF(AND(G4&gt;=1800001,G4&lt;=2500000,G6&gt;=41,G6&lt;=45),E156,IF(AND(G4&gt;=1800001,G4&lt;=2500000,G6&gt;=46,G6&lt;=60),F156,IF(AND(G4&gt;=1800001,G4&lt;=2500000,G6&gt;=61,G6&lt;=65),I156,IF(AND(G4&gt;=1500001,G4&lt;=1800000,G6&gt;=46,G6&lt;=50),F155,IF(AND(G4&gt;=1500001,G4&lt;=1800000,G6&gt;=51,G6&lt;=60),G155,IF(AND(G4&gt;=1500001,G4&lt;=1800000,G6&gt;=61,G6&lt;=65),I155,G147))))))</f>
        <v/>
      </c>
      <c r="G147" s="337" t="str">
        <f>IF(AND(G4&gt;=900001,G4&lt;=1500000,G6&gt;=51,G6&lt;=60),G154,IF(AND(G4&gt;=900001,G4&lt;=1500000,G6&gt;=61,G6&lt;=65),I154,IF(AND(G4&gt;=600001,G4&lt;=900000,G6&gt;=51,G6&lt;=55),G153,IF(AND(G4&gt;=600001,G4&lt;=900000,G6&gt;=56,G6&lt;=60),H153,IF(AND(G4&gt;=600001,G4&lt;=900000,G6&gt;=61,G6&lt;=65),I153,H147)))))</f>
        <v/>
      </c>
      <c r="H147" s="338" t="str">
        <f>IF(AND(G4&lt;=600000,G6&gt;=56,G6&lt;=60),H152,IF(AND(G4&lt;=600000,G6&gt;=61,G6&lt;=65),I152,""))</f>
        <v/>
      </c>
      <c r="O147" s="23"/>
      <c r="S147" s="12"/>
      <c r="T147" s="12"/>
      <c r="U147" s="12"/>
      <c r="V147" s="12"/>
      <c r="W147" s="12"/>
      <c r="X147" s="12"/>
      <c r="Y147" s="12"/>
      <c r="Z147" s="12"/>
    </row>
    <row r="148" spans="2:26" hidden="1" x14ac:dyDescent="0.15">
      <c r="B148" s="22"/>
      <c r="O148" s="23"/>
      <c r="S148" s="12"/>
      <c r="T148" s="12"/>
      <c r="U148" s="12"/>
      <c r="V148" s="12"/>
      <c r="W148" s="12"/>
      <c r="X148" s="12"/>
      <c r="Y148" s="12"/>
      <c r="Z148" s="12"/>
    </row>
    <row r="149" spans="2:26" hidden="1" x14ac:dyDescent="0.15">
      <c r="B149" s="22"/>
      <c r="O149" s="23"/>
      <c r="S149" s="12"/>
      <c r="T149" s="12"/>
      <c r="U149" s="12"/>
      <c r="V149" s="12"/>
      <c r="W149" s="12"/>
      <c r="X149" s="12"/>
      <c r="Y149" s="12"/>
      <c r="Z149" s="12"/>
    </row>
    <row r="150" spans="2:26" hidden="1" x14ac:dyDescent="0.15">
      <c r="B150" s="22"/>
      <c r="O150" s="23"/>
      <c r="S150" s="12"/>
      <c r="T150" s="12"/>
      <c r="U150" s="12"/>
      <c r="V150" s="12"/>
      <c r="W150" s="12"/>
      <c r="X150" s="12"/>
      <c r="Y150" s="12"/>
      <c r="Z150" s="12"/>
    </row>
    <row r="151" spans="2:26" hidden="1" x14ac:dyDescent="0.15">
      <c r="B151" s="22"/>
      <c r="C151" s="339" t="s">
        <v>533</v>
      </c>
      <c r="D151" s="339" t="s">
        <v>534</v>
      </c>
      <c r="E151" s="339" t="s">
        <v>535</v>
      </c>
      <c r="F151" s="339" t="s">
        <v>536</v>
      </c>
      <c r="G151" s="339" t="s">
        <v>537</v>
      </c>
      <c r="H151" s="339" t="s">
        <v>538</v>
      </c>
      <c r="I151" s="339" t="s">
        <v>539</v>
      </c>
      <c r="J151" s="331"/>
      <c r="K151" s="331"/>
      <c r="L151" s="331"/>
      <c r="M151" s="331"/>
      <c r="N151" s="331"/>
      <c r="O151" s="342"/>
      <c r="S151" s="12"/>
      <c r="T151" s="12"/>
      <c r="U151" s="12"/>
      <c r="V151" s="12"/>
      <c r="W151" s="12"/>
      <c r="X151" s="12"/>
      <c r="Y151" s="12"/>
      <c r="Z151" s="12"/>
    </row>
    <row r="152" spans="2:26" hidden="1" x14ac:dyDescent="0.15">
      <c r="B152" s="22"/>
      <c r="C152" s="340" t="s">
        <v>540</v>
      </c>
      <c r="D152" s="341" t="s">
        <v>547</v>
      </c>
      <c r="E152" s="341" t="s">
        <v>547</v>
      </c>
      <c r="F152" s="341" t="s">
        <v>547</v>
      </c>
      <c r="G152" s="341" t="s">
        <v>547</v>
      </c>
      <c r="H152" s="331" t="s">
        <v>548</v>
      </c>
      <c r="I152" s="331" t="s">
        <v>565</v>
      </c>
      <c r="J152" s="331"/>
      <c r="K152" s="331"/>
      <c r="L152" s="331"/>
      <c r="M152" s="331"/>
      <c r="N152" s="331"/>
      <c r="O152" s="342"/>
      <c r="S152" s="12"/>
      <c r="T152" s="12"/>
      <c r="U152" s="12"/>
      <c r="V152" s="12"/>
      <c r="W152" s="12"/>
      <c r="X152" s="12"/>
      <c r="Y152" s="12"/>
      <c r="Z152" s="12"/>
    </row>
    <row r="153" spans="2:26" hidden="1" x14ac:dyDescent="0.15">
      <c r="B153" s="22"/>
      <c r="C153" s="340" t="s">
        <v>541</v>
      </c>
      <c r="D153" s="341" t="s">
        <v>547</v>
      </c>
      <c r="E153" s="341" t="s">
        <v>547</v>
      </c>
      <c r="F153" s="341" t="s">
        <v>547</v>
      </c>
      <c r="G153" s="331" t="s">
        <v>563</v>
      </c>
      <c r="H153" s="331" t="s">
        <v>564</v>
      </c>
      <c r="I153" s="331" t="s">
        <v>565</v>
      </c>
      <c r="J153" s="331"/>
      <c r="K153" s="331"/>
      <c r="L153" s="331"/>
      <c r="M153" s="331"/>
      <c r="N153" s="331"/>
      <c r="O153" s="342"/>
      <c r="S153" s="12"/>
      <c r="T153" s="12"/>
      <c r="U153" s="12"/>
      <c r="V153" s="12"/>
      <c r="W153" s="12"/>
      <c r="X153" s="12"/>
      <c r="Y153" s="12"/>
      <c r="Z153" s="12"/>
    </row>
    <row r="154" spans="2:26" hidden="1" x14ac:dyDescent="0.15">
      <c r="B154" s="22"/>
      <c r="C154" s="340" t="s">
        <v>542</v>
      </c>
      <c r="D154" s="341" t="s">
        <v>547</v>
      </c>
      <c r="E154" s="341" t="s">
        <v>547</v>
      </c>
      <c r="F154" s="341" t="s">
        <v>547</v>
      </c>
      <c r="G154" s="331" t="s">
        <v>561</v>
      </c>
      <c r="H154" s="331" t="s">
        <v>561</v>
      </c>
      <c r="I154" s="331" t="s">
        <v>562</v>
      </c>
      <c r="J154" s="331"/>
      <c r="K154" s="331"/>
      <c r="L154" s="331"/>
      <c r="M154" s="331"/>
      <c r="N154" s="331"/>
      <c r="O154" s="342"/>
      <c r="S154" s="12"/>
      <c r="T154" s="12"/>
      <c r="U154" s="12"/>
      <c r="V154" s="12"/>
      <c r="W154" s="12"/>
      <c r="X154" s="12"/>
      <c r="Y154" s="12"/>
      <c r="Z154" s="12"/>
    </row>
    <row r="155" spans="2:26" hidden="1" x14ac:dyDescent="0.15">
      <c r="B155" s="22"/>
      <c r="C155" s="340" t="s">
        <v>549</v>
      </c>
      <c r="D155" s="341" t="s">
        <v>547</v>
      </c>
      <c r="E155" s="331" t="s">
        <v>556</v>
      </c>
      <c r="F155" s="331" t="s">
        <v>561</v>
      </c>
      <c r="G155" s="331" t="s">
        <v>561</v>
      </c>
      <c r="H155" s="331" t="s">
        <v>561</v>
      </c>
      <c r="I155" s="331" t="s">
        <v>562</v>
      </c>
      <c r="J155" s="331"/>
      <c r="K155" s="331"/>
      <c r="L155" s="331"/>
      <c r="M155" s="331"/>
      <c r="N155" s="331"/>
      <c r="O155" s="342"/>
      <c r="S155" s="12"/>
      <c r="T155" s="12"/>
      <c r="U155" s="12"/>
      <c r="V155" s="12"/>
      <c r="W155" s="12"/>
      <c r="X155" s="12"/>
      <c r="Y155" s="12"/>
      <c r="Z155" s="12"/>
    </row>
    <row r="156" spans="2:26" hidden="1" x14ac:dyDescent="0.15">
      <c r="B156" s="22"/>
      <c r="C156" s="340" t="s">
        <v>550</v>
      </c>
      <c r="D156" s="341" t="s">
        <v>547</v>
      </c>
      <c r="E156" s="331" t="s">
        <v>556</v>
      </c>
      <c r="F156" s="331" t="s">
        <v>561</v>
      </c>
      <c r="G156" s="331" t="s">
        <v>561</v>
      </c>
      <c r="H156" s="331" t="s">
        <v>561</v>
      </c>
      <c r="I156" s="331" t="s">
        <v>562</v>
      </c>
      <c r="J156" s="331"/>
      <c r="K156" s="331"/>
      <c r="L156" s="331"/>
      <c r="M156" s="331"/>
      <c r="N156" s="331"/>
      <c r="O156" s="342"/>
      <c r="S156" s="12"/>
      <c r="T156" s="12"/>
      <c r="U156" s="12"/>
      <c r="V156" s="12"/>
      <c r="W156" s="12"/>
      <c r="X156" s="12"/>
      <c r="Y156" s="12"/>
      <c r="Z156" s="12"/>
    </row>
    <row r="157" spans="2:26" hidden="1" x14ac:dyDescent="0.15">
      <c r="B157" s="22"/>
      <c r="C157" s="340" t="s">
        <v>543</v>
      </c>
      <c r="D157" s="341" t="s">
        <v>547</v>
      </c>
      <c r="E157" s="331" t="s">
        <v>561</v>
      </c>
      <c r="F157" s="331" t="s">
        <v>561</v>
      </c>
      <c r="G157" s="331" t="s">
        <v>561</v>
      </c>
      <c r="H157" s="331" t="s">
        <v>561</v>
      </c>
      <c r="I157" s="331" t="s">
        <v>562</v>
      </c>
      <c r="J157" s="331"/>
      <c r="K157" s="331"/>
      <c r="L157" s="331"/>
      <c r="M157" s="331"/>
      <c r="N157" s="331"/>
      <c r="O157" s="342"/>
      <c r="S157" s="12"/>
      <c r="T157" s="12"/>
      <c r="U157" s="12"/>
      <c r="V157" s="12"/>
      <c r="W157" s="12"/>
      <c r="X157" s="12"/>
      <c r="Y157" s="12"/>
      <c r="Z157" s="12"/>
    </row>
    <row r="158" spans="2:26" hidden="1" x14ac:dyDescent="0.15">
      <c r="B158" s="22"/>
      <c r="C158" s="340" t="s">
        <v>544</v>
      </c>
      <c r="D158" s="331" t="s">
        <v>561</v>
      </c>
      <c r="E158" s="331" t="s">
        <v>561</v>
      </c>
      <c r="F158" s="331" t="s">
        <v>561</v>
      </c>
      <c r="G158" s="331" t="s">
        <v>561</v>
      </c>
      <c r="H158" s="331" t="s">
        <v>561</v>
      </c>
      <c r="I158" s="331" t="s">
        <v>562</v>
      </c>
      <c r="J158" s="331"/>
      <c r="K158" s="331"/>
      <c r="L158" s="331"/>
      <c r="M158" s="331"/>
      <c r="N158" s="331"/>
      <c r="O158" s="342"/>
      <c r="S158" s="12"/>
      <c r="T158" s="12"/>
      <c r="U158" s="12"/>
      <c r="V158" s="12"/>
      <c r="W158" s="12"/>
      <c r="X158" s="12"/>
      <c r="Y158" s="12"/>
      <c r="Z158" s="12"/>
    </row>
    <row r="159" spans="2:26" hidden="1" x14ac:dyDescent="0.15">
      <c r="B159" s="22"/>
      <c r="C159" s="340" t="s">
        <v>545</v>
      </c>
      <c r="D159" s="331" t="s">
        <v>559</v>
      </c>
      <c r="E159" s="331" t="s">
        <v>559</v>
      </c>
      <c r="F159" s="331" t="s">
        <v>559</v>
      </c>
      <c r="G159" s="331" t="s">
        <v>559</v>
      </c>
      <c r="H159" s="331" t="s">
        <v>559</v>
      </c>
      <c r="I159" s="331" t="s">
        <v>560</v>
      </c>
      <c r="J159" s="331"/>
      <c r="K159" s="331"/>
      <c r="L159" s="331"/>
      <c r="M159" s="331"/>
      <c r="N159" s="331"/>
      <c r="O159" s="342"/>
      <c r="S159" s="12"/>
      <c r="T159" s="12"/>
      <c r="U159" s="12"/>
      <c r="V159" s="12"/>
      <c r="W159" s="12"/>
      <c r="X159" s="12"/>
      <c r="Y159" s="12"/>
      <c r="Z159" s="12"/>
    </row>
    <row r="160" spans="2:26" ht="14" hidden="1" thickBot="1" x14ac:dyDescent="0.2">
      <c r="B160" s="24"/>
      <c r="C160" s="343" t="s">
        <v>546</v>
      </c>
      <c r="D160" s="344" t="s">
        <v>558</v>
      </c>
      <c r="E160" s="344" t="s">
        <v>558</v>
      </c>
      <c r="F160" s="344" t="s">
        <v>558</v>
      </c>
      <c r="G160" s="344" t="s">
        <v>558</v>
      </c>
      <c r="H160" s="344" t="s">
        <v>558</v>
      </c>
      <c r="I160" s="344" t="s">
        <v>557</v>
      </c>
      <c r="J160" s="344"/>
      <c r="K160" s="344"/>
      <c r="L160" s="344"/>
      <c r="M160" s="344"/>
      <c r="N160" s="344"/>
      <c r="O160" s="345"/>
      <c r="S160" s="12"/>
      <c r="T160" s="12"/>
      <c r="U160" s="12"/>
      <c r="V160" s="12"/>
      <c r="W160" s="12"/>
      <c r="X160" s="12"/>
      <c r="Y160" s="12"/>
      <c r="Z160" s="12"/>
    </row>
    <row r="161" spans="3:26" hidden="1" x14ac:dyDescent="0.15">
      <c r="C161" s="33"/>
      <c r="D161" s="33"/>
      <c r="S161" s="12"/>
      <c r="T161" s="12"/>
      <c r="U161" s="12"/>
      <c r="V161" s="12"/>
      <c r="W161" s="12"/>
      <c r="X161" s="12"/>
      <c r="Y161" s="12"/>
      <c r="Z161" s="12"/>
    </row>
    <row r="162" spans="3:26" hidden="1" x14ac:dyDescent="0.15">
      <c r="C162" s="33"/>
      <c r="D162" s="33"/>
      <c r="S162" s="12"/>
      <c r="T162" s="12"/>
      <c r="U162" s="12"/>
      <c r="V162" s="12"/>
      <c r="W162" s="12"/>
      <c r="X162" s="12"/>
      <c r="Y162" s="12"/>
      <c r="Z162" s="12"/>
    </row>
    <row r="163" spans="3:26" hidden="1" x14ac:dyDescent="0.15">
      <c r="C163" s="33"/>
      <c r="D163" s="33"/>
      <c r="S163" s="12"/>
      <c r="T163" s="12"/>
      <c r="U163" s="12"/>
      <c r="V163" s="12"/>
      <c r="W163" s="12"/>
      <c r="X163" s="12"/>
      <c r="Y163" s="12"/>
      <c r="Z163" s="12"/>
    </row>
    <row r="164" spans="3:26" hidden="1" x14ac:dyDescent="0.15">
      <c r="C164" s="33"/>
      <c r="D164" s="33"/>
      <c r="S164" s="12"/>
      <c r="T164" s="12"/>
      <c r="U164" s="12"/>
      <c r="V164" s="12"/>
      <c r="W164" s="12"/>
      <c r="X164" s="12"/>
      <c r="Y164" s="12"/>
      <c r="Z164" s="12"/>
    </row>
    <row r="165" spans="3:26" hidden="1" x14ac:dyDescent="0.15">
      <c r="C165" s="33"/>
      <c r="D165" s="33"/>
      <c r="S165" s="12"/>
      <c r="T165" s="12"/>
      <c r="U165" s="12"/>
      <c r="V165" s="12"/>
      <c r="W165" s="12"/>
      <c r="X165" s="12"/>
      <c r="Y165" s="12"/>
      <c r="Z165" s="12"/>
    </row>
    <row r="166" spans="3:26" hidden="1" x14ac:dyDescent="0.15">
      <c r="C166" s="359" t="s">
        <v>226</v>
      </c>
      <c r="D166" s="33">
        <f>D10</f>
        <v>12</v>
      </c>
      <c r="E166" s="11">
        <f>G4</f>
        <v>1000000</v>
      </c>
      <c r="F166" s="11">
        <f>D166*E166/100</f>
        <v>120000</v>
      </c>
      <c r="S166" s="12"/>
      <c r="T166" s="12"/>
      <c r="U166" s="12"/>
      <c r="V166" s="12"/>
      <c r="W166" s="12"/>
      <c r="X166" s="12"/>
      <c r="Y166" s="12"/>
      <c r="Z166" s="12"/>
    </row>
    <row r="167" spans="3:26" hidden="1" x14ac:dyDescent="0.15">
      <c r="C167" s="33"/>
      <c r="D167" s="33"/>
      <c r="S167" s="12"/>
      <c r="T167" s="12"/>
      <c r="U167" s="12"/>
      <c r="V167" s="12"/>
      <c r="W167" s="12"/>
      <c r="X167" s="12"/>
      <c r="Y167" s="12"/>
      <c r="Z167" s="12"/>
    </row>
    <row r="168" spans="3:26" hidden="1" x14ac:dyDescent="0.15">
      <c r="C168" s="33"/>
      <c r="D168" s="33"/>
      <c r="S168" s="12"/>
      <c r="T168" s="12"/>
      <c r="U168" s="12"/>
      <c r="V168" s="12"/>
      <c r="W168" s="12"/>
      <c r="X168" s="12"/>
      <c r="Y168" s="12"/>
      <c r="Z168" s="12"/>
    </row>
    <row r="169" spans="3:26" hidden="1" x14ac:dyDescent="0.15">
      <c r="C169" s="33"/>
      <c r="D169" s="33"/>
      <c r="S169" s="12"/>
      <c r="T169" s="12"/>
      <c r="U169" s="12"/>
      <c r="V169" s="12"/>
      <c r="W169" s="12"/>
      <c r="X169" s="12"/>
      <c r="Y169" s="12"/>
      <c r="Z169" s="12"/>
    </row>
    <row r="170" spans="3:26" hidden="1" x14ac:dyDescent="0.15">
      <c r="C170" s="33"/>
      <c r="D170" s="33"/>
      <c r="S170" s="12"/>
      <c r="T170" s="12"/>
      <c r="U170" s="12"/>
      <c r="V170" s="12"/>
      <c r="W170" s="12"/>
      <c r="X170" s="12"/>
      <c r="Y170" s="12"/>
      <c r="Z170" s="12"/>
    </row>
    <row r="171" spans="3:26" hidden="1" x14ac:dyDescent="0.15">
      <c r="D171" s="33"/>
      <c r="S171" s="12"/>
      <c r="T171" s="12"/>
      <c r="U171" s="12"/>
      <c r="V171" s="12"/>
      <c r="W171" s="12"/>
      <c r="X171" s="12"/>
      <c r="Y171" s="12"/>
      <c r="Z171" s="12"/>
    </row>
    <row r="172" spans="3:26" hidden="1" x14ac:dyDescent="0.15">
      <c r="S172" s="12"/>
      <c r="T172" s="12"/>
      <c r="U172" s="12"/>
      <c r="V172" s="12"/>
      <c r="W172" s="12"/>
      <c r="X172" s="12"/>
      <c r="Y172" s="12"/>
      <c r="Z172" s="12"/>
    </row>
    <row r="173" spans="3:26" hidden="1" x14ac:dyDescent="0.15">
      <c r="S173" s="12"/>
      <c r="T173" s="12"/>
      <c r="U173" s="12"/>
      <c r="V173" s="12"/>
      <c r="W173" s="12"/>
      <c r="X173" s="12"/>
      <c r="Y173" s="12"/>
      <c r="Z173" s="12"/>
    </row>
    <row r="174" spans="3:26" hidden="1" x14ac:dyDescent="0.15">
      <c r="S174" s="12"/>
      <c r="T174" s="12"/>
      <c r="U174" s="12"/>
      <c r="V174" s="12"/>
      <c r="W174" s="12"/>
      <c r="X174" s="12"/>
      <c r="Y174" s="12"/>
      <c r="Z174" s="12"/>
    </row>
    <row r="175" spans="3:26" hidden="1" x14ac:dyDescent="0.15">
      <c r="S175" s="12"/>
      <c r="T175" s="12"/>
      <c r="U175" s="12"/>
      <c r="V175" s="12"/>
      <c r="W175" s="12"/>
      <c r="X175" s="12"/>
      <c r="Y175" s="12"/>
      <c r="Z175" s="12"/>
    </row>
    <row r="176" spans="3:26" hidden="1" x14ac:dyDescent="0.15">
      <c r="S176" s="12"/>
      <c r="T176" s="12"/>
      <c r="U176" s="12"/>
      <c r="V176" s="12"/>
      <c r="W176" s="12"/>
      <c r="X176" s="12"/>
      <c r="Y176" s="12"/>
      <c r="Z176" s="12"/>
    </row>
    <row r="177" spans="19:26" hidden="1" x14ac:dyDescent="0.15">
      <c r="S177" s="12"/>
      <c r="T177" s="12"/>
      <c r="U177" s="12"/>
      <c r="V177" s="12"/>
      <c r="W177" s="12"/>
      <c r="X177" s="12"/>
      <c r="Y177" s="12"/>
      <c r="Z177" s="12"/>
    </row>
    <row r="178" spans="19:26" hidden="1" x14ac:dyDescent="0.15">
      <c r="S178" s="12"/>
      <c r="T178" s="12"/>
      <c r="U178" s="12"/>
      <c r="V178" s="12"/>
      <c r="W178" s="12"/>
      <c r="X178" s="12"/>
      <c r="Y178" s="12"/>
      <c r="Z178" s="12"/>
    </row>
    <row r="179" spans="19:26" hidden="1" x14ac:dyDescent="0.15">
      <c r="S179" s="12"/>
      <c r="T179" s="12"/>
      <c r="U179" s="12"/>
      <c r="V179" s="12"/>
      <c r="W179" s="12"/>
      <c r="X179" s="12"/>
      <c r="Y179" s="12"/>
      <c r="Z179" s="12"/>
    </row>
    <row r="180" spans="19:26" hidden="1" x14ac:dyDescent="0.15">
      <c r="S180" s="12"/>
      <c r="T180" s="12"/>
      <c r="U180" s="12"/>
      <c r="V180" s="12"/>
      <c r="W180" s="12"/>
      <c r="X180" s="12"/>
      <c r="Y180" s="12"/>
      <c r="Z180" s="12"/>
    </row>
    <row r="181" spans="19:26" hidden="1" x14ac:dyDescent="0.15">
      <c r="S181" s="12"/>
      <c r="T181" s="12"/>
      <c r="U181" s="12"/>
      <c r="V181" s="12"/>
      <c r="W181" s="12"/>
      <c r="X181" s="12"/>
      <c r="Y181" s="12"/>
      <c r="Z181" s="12"/>
    </row>
    <row r="182" spans="19:26" hidden="1" x14ac:dyDescent="0.15">
      <c r="S182" s="12"/>
      <c r="T182" s="12"/>
      <c r="U182" s="12"/>
      <c r="V182" s="12"/>
      <c r="W182" s="12"/>
      <c r="X182" s="12"/>
      <c r="Y182" s="12"/>
      <c r="Z182" s="12"/>
    </row>
    <row r="183" spans="19:26" hidden="1" x14ac:dyDescent="0.15">
      <c r="S183" s="12"/>
      <c r="T183" s="12"/>
      <c r="U183" s="12"/>
      <c r="V183" s="12"/>
      <c r="W183" s="12"/>
      <c r="X183" s="12"/>
      <c r="Y183" s="12"/>
      <c r="Z183" s="12"/>
    </row>
    <row r="184" spans="19:26" hidden="1" x14ac:dyDescent="0.15">
      <c r="S184" s="12"/>
      <c r="T184" s="12"/>
      <c r="U184" s="12"/>
      <c r="V184" s="12"/>
      <c r="W184" s="12"/>
      <c r="X184" s="12"/>
      <c r="Y184" s="12"/>
      <c r="Z184" s="12"/>
    </row>
    <row r="185" spans="19:26" hidden="1" x14ac:dyDescent="0.15">
      <c r="S185" s="12"/>
      <c r="T185" s="12"/>
      <c r="U185" s="12"/>
      <c r="V185" s="12"/>
      <c r="W185" s="12"/>
      <c r="X185" s="12"/>
      <c r="Y185" s="12"/>
      <c r="Z185" s="12"/>
    </row>
    <row r="186" spans="19:26" hidden="1" x14ac:dyDescent="0.15">
      <c r="S186" s="12"/>
      <c r="T186" s="12"/>
      <c r="U186" s="12"/>
      <c r="V186" s="12"/>
      <c r="W186" s="12"/>
      <c r="X186" s="12"/>
      <c r="Y186" s="12"/>
      <c r="Z186" s="12"/>
    </row>
    <row r="187" spans="19:26" hidden="1" x14ac:dyDescent="0.15">
      <c r="S187" s="12"/>
      <c r="T187" s="12"/>
      <c r="U187" s="12"/>
      <c r="V187" s="12"/>
      <c r="W187" s="12"/>
      <c r="X187" s="12"/>
      <c r="Y187" s="12"/>
      <c r="Z187" s="12"/>
    </row>
    <row r="188" spans="19:26" hidden="1" x14ac:dyDescent="0.15">
      <c r="S188" s="12"/>
      <c r="T188" s="12"/>
      <c r="U188" s="12"/>
      <c r="V188" s="12"/>
      <c r="W188" s="12"/>
      <c r="X188" s="12"/>
      <c r="Y188" s="12"/>
      <c r="Z188" s="12"/>
    </row>
    <row r="189" spans="19:26" hidden="1" x14ac:dyDescent="0.15">
      <c r="S189" s="12"/>
      <c r="T189" s="12"/>
      <c r="U189" s="12"/>
      <c r="V189" s="12"/>
      <c r="W189" s="12"/>
      <c r="X189" s="12"/>
      <c r="Y189" s="12"/>
      <c r="Z189" s="12"/>
    </row>
    <row r="190" spans="19:26" hidden="1" x14ac:dyDescent="0.15">
      <c r="S190" s="12"/>
      <c r="T190" s="12"/>
      <c r="U190" s="12"/>
      <c r="V190" s="12"/>
      <c r="W190" s="12"/>
      <c r="X190" s="12"/>
      <c r="Y190" s="12"/>
      <c r="Z190" s="12"/>
    </row>
    <row r="191" spans="19:26" hidden="1" x14ac:dyDescent="0.15">
      <c r="S191" s="12"/>
      <c r="T191" s="12"/>
      <c r="U191" s="12"/>
      <c r="V191" s="12"/>
      <c r="W191" s="12"/>
      <c r="X191" s="12"/>
      <c r="Y191" s="12"/>
      <c r="Z191" s="12"/>
    </row>
    <row r="192" spans="19:26" hidden="1" x14ac:dyDescent="0.15">
      <c r="S192" s="12"/>
      <c r="T192" s="12"/>
      <c r="U192" s="12"/>
      <c r="V192" s="12"/>
      <c r="W192" s="12"/>
      <c r="X192" s="12"/>
      <c r="Y192" s="12"/>
      <c r="Z192" s="12"/>
    </row>
    <row r="193" spans="1:26" hidden="1" x14ac:dyDescent="0.15">
      <c r="S193" s="12"/>
      <c r="T193" s="12"/>
      <c r="U193" s="12"/>
      <c r="V193" s="12"/>
      <c r="W193" s="12"/>
      <c r="X193" s="12"/>
      <c r="Y193" s="12"/>
      <c r="Z193" s="12"/>
    </row>
    <row r="194" spans="1:26" hidden="1" x14ac:dyDescent="0.15">
      <c r="S194" s="12"/>
      <c r="T194" s="12"/>
      <c r="U194" s="12"/>
      <c r="V194" s="12"/>
      <c r="W194" s="12"/>
      <c r="X194" s="12"/>
      <c r="Y194" s="12"/>
      <c r="Z194" s="12"/>
    </row>
    <row r="195" spans="1:26" hidden="1" x14ac:dyDescent="0.15">
      <c r="S195" s="12"/>
      <c r="T195" s="12"/>
      <c r="U195" s="12"/>
      <c r="V195" s="12"/>
      <c r="W195" s="12"/>
      <c r="X195" s="12"/>
      <c r="Y195" s="12"/>
      <c r="Z195" s="12"/>
    </row>
    <row r="196" spans="1:26" hidden="1" x14ac:dyDescent="0.15">
      <c r="S196" s="12"/>
      <c r="T196" s="12"/>
      <c r="U196" s="12"/>
      <c r="V196" s="12"/>
      <c r="W196" s="12"/>
      <c r="X196" s="12"/>
      <c r="Y196" s="12"/>
      <c r="Z196" s="12"/>
    </row>
    <row r="197" spans="1:26" hidden="1" x14ac:dyDescent="0.15">
      <c r="S197" s="12"/>
      <c r="T197" s="12"/>
      <c r="U197" s="12"/>
      <c r="V197" s="12"/>
      <c r="W197" s="12"/>
      <c r="X197" s="12"/>
      <c r="Y197" s="12"/>
      <c r="Z197" s="12"/>
    </row>
    <row r="198" spans="1:26" hidden="1" x14ac:dyDescent="0.15">
      <c r="S198" s="12"/>
      <c r="T198" s="12"/>
      <c r="U198" s="12"/>
      <c r="V198" s="12"/>
      <c r="W198" s="12"/>
      <c r="X198" s="12"/>
      <c r="Y198" s="12"/>
      <c r="Z198" s="12"/>
    </row>
    <row r="199" spans="1:26" hidden="1" x14ac:dyDescent="0.15">
      <c r="S199" s="12"/>
      <c r="T199" s="12"/>
      <c r="U199" s="12"/>
      <c r="V199" s="12"/>
      <c r="W199" s="12"/>
      <c r="X199" s="12"/>
      <c r="Y199" s="12"/>
      <c r="Z199" s="12"/>
    </row>
    <row r="200" spans="1:26" ht="14" hidden="1" thickBot="1" x14ac:dyDescent="0.2">
      <c r="S200" s="12"/>
      <c r="T200" s="12"/>
      <c r="U200" s="12"/>
      <c r="V200" s="12"/>
      <c r="W200" s="12"/>
      <c r="X200" s="12"/>
      <c r="Y200" s="12"/>
      <c r="Z200" s="12"/>
    </row>
    <row r="201" spans="1:26" hidden="1" x14ac:dyDescent="0.15">
      <c r="A201" s="19"/>
      <c r="B201" s="20"/>
      <c r="C201" s="20"/>
      <c r="D201" s="20"/>
      <c r="E201" s="20"/>
      <c r="F201" s="20"/>
      <c r="G201" s="21"/>
      <c r="S201" s="12"/>
      <c r="T201" s="12"/>
      <c r="U201" s="12"/>
      <c r="V201" s="12"/>
      <c r="W201" s="12"/>
      <c r="X201" s="12"/>
      <c r="Y201" s="12"/>
      <c r="Z201" s="12"/>
    </row>
    <row r="202" spans="1:26" hidden="1" x14ac:dyDescent="0.15">
      <c r="A202" s="31" t="s">
        <v>258</v>
      </c>
      <c r="C202" s="34" t="s">
        <v>264</v>
      </c>
      <c r="E202" s="34">
        <f>IF(E207&lt;20,20,E207)</f>
        <v>20</v>
      </c>
      <c r="G202" s="23"/>
      <c r="S202" s="12"/>
      <c r="T202" s="12"/>
      <c r="U202" s="12"/>
      <c r="V202" s="12"/>
      <c r="W202" s="12"/>
      <c r="X202" s="12"/>
      <c r="Y202" s="12"/>
      <c r="Z202" s="12"/>
    </row>
    <row r="203" spans="1:26" hidden="1" x14ac:dyDescent="0.15">
      <c r="A203" s="22"/>
      <c r="G203" s="23"/>
      <c r="S203" s="12"/>
      <c r="T203" s="12"/>
      <c r="U203" s="12"/>
      <c r="V203" s="12"/>
      <c r="W203" s="12"/>
      <c r="X203" s="12"/>
      <c r="Y203" s="12"/>
      <c r="Z203" s="12"/>
    </row>
    <row r="204" spans="1:26" hidden="1" x14ac:dyDescent="0.15">
      <c r="A204" s="22"/>
      <c r="C204" s="11" t="s">
        <v>260</v>
      </c>
      <c r="D204" s="11" t="s">
        <v>261</v>
      </c>
      <c r="G204" s="23"/>
      <c r="S204" s="12"/>
      <c r="T204" s="12"/>
      <c r="U204" s="12"/>
      <c r="V204" s="12"/>
      <c r="W204" s="12"/>
      <c r="X204" s="12"/>
      <c r="Y204" s="12"/>
      <c r="Z204" s="12"/>
    </row>
    <row r="205" spans="1:26" hidden="1" x14ac:dyDescent="0.15">
      <c r="A205" s="22"/>
      <c r="C205" s="11">
        <f>IF(C207&gt;=C208,C207,IF(C208&gt;=C207,C208))</f>
        <v>24</v>
      </c>
      <c r="D205" s="11">
        <f>IF(C207&gt;=C208,C208,IF(C208&gt;=C207,C207))</f>
        <v>2</v>
      </c>
      <c r="G205" s="23"/>
      <c r="S205" s="12"/>
      <c r="T205" s="12"/>
      <c r="U205" s="12"/>
      <c r="V205" s="12"/>
      <c r="W205" s="12"/>
      <c r="X205" s="12"/>
      <c r="Y205" s="12"/>
      <c r="Z205" s="12"/>
    </row>
    <row r="206" spans="1:26" hidden="1" x14ac:dyDescent="0.15">
      <c r="A206" s="22"/>
      <c r="D206" s="11" t="s">
        <v>262</v>
      </c>
      <c r="E206" s="11" t="s">
        <v>263</v>
      </c>
      <c r="G206" s="23"/>
      <c r="S206" s="12"/>
      <c r="T206" s="12"/>
      <c r="U206" s="12"/>
      <c r="V206" s="12"/>
      <c r="W206" s="12"/>
      <c r="X206" s="12"/>
      <c r="Y206" s="12"/>
      <c r="Z206" s="12"/>
    </row>
    <row r="207" spans="1:26" hidden="1" x14ac:dyDescent="0.15">
      <c r="A207" s="22" t="s">
        <v>0</v>
      </c>
      <c r="C207" s="33">
        <f>G6</f>
        <v>24</v>
      </c>
      <c r="D207" s="33">
        <f>C205-D205</f>
        <v>22</v>
      </c>
      <c r="E207" s="35">
        <f>IF(OR(D207=0,D207=1),C205,IF(AND(D207&gt;=2,D207&lt;=3),C205-1,IF(AND(D207&gt;=4,D207&lt;=6),C205-2,IF(AND(D207&gt;=7,D207&lt;=9),C205-3,IF(AND(D207&gt;=10,D207&lt;=13),C205-4,IF(AND(D207&gt;=14,D207&lt;=17),C205-5,IF(AND(D207&gt;=18,D207&lt;=24),C205-6,F207)))))))</f>
        <v>18</v>
      </c>
      <c r="F207" s="33" t="str">
        <f>IF(AND(D207&gt;=25,D207&lt;=33),C205-7,"0")</f>
        <v>0</v>
      </c>
      <c r="G207" s="23"/>
      <c r="S207" s="12"/>
      <c r="T207" s="12"/>
      <c r="U207" s="12"/>
      <c r="V207" s="12"/>
      <c r="W207" s="12"/>
      <c r="X207" s="12"/>
      <c r="Y207" s="12"/>
      <c r="Z207" s="12"/>
    </row>
    <row r="208" spans="1:26" hidden="1" x14ac:dyDescent="0.15">
      <c r="A208" s="22" t="s">
        <v>259</v>
      </c>
      <c r="C208" s="33">
        <f>G7</f>
        <v>2</v>
      </c>
      <c r="D208" s="33"/>
      <c r="E208" s="33"/>
      <c r="F208" s="33"/>
      <c r="G208" s="23"/>
      <c r="S208" s="12"/>
      <c r="T208" s="12"/>
      <c r="U208" s="12"/>
      <c r="V208" s="12"/>
      <c r="W208" s="12"/>
      <c r="X208" s="12"/>
      <c r="Y208" s="12"/>
      <c r="Z208" s="12"/>
    </row>
    <row r="209" spans="1:26" hidden="1" x14ac:dyDescent="0.15">
      <c r="A209" s="22"/>
      <c r="G209" s="23"/>
      <c r="S209" s="12"/>
      <c r="T209" s="12"/>
      <c r="U209" s="12"/>
      <c r="V209" s="12"/>
      <c r="W209" s="12"/>
      <c r="X209" s="12"/>
      <c r="Y209" s="12"/>
      <c r="Z209" s="12"/>
    </row>
    <row r="210" spans="1:26" ht="14" hidden="1" thickBot="1" x14ac:dyDescent="0.2">
      <c r="A210" s="24"/>
      <c r="B210" s="25"/>
      <c r="C210" s="25"/>
      <c r="D210" s="25"/>
      <c r="E210" s="25"/>
      <c r="F210" s="25"/>
      <c r="G210" s="26"/>
      <c r="S210" s="12"/>
      <c r="T210" s="12"/>
      <c r="U210" s="12"/>
      <c r="V210" s="12"/>
      <c r="W210" s="12"/>
      <c r="X210" s="12"/>
      <c r="Y210" s="12"/>
      <c r="Z210" s="12"/>
    </row>
    <row r="211" spans="1:26" ht="14" hidden="1" thickBot="1" x14ac:dyDescent="0.2">
      <c r="S211" s="12"/>
      <c r="T211" s="12"/>
      <c r="U211" s="12"/>
      <c r="V211" s="12"/>
      <c r="W211" s="12"/>
      <c r="X211" s="12"/>
      <c r="Y211" s="12"/>
      <c r="Z211" s="12"/>
    </row>
    <row r="212" spans="1:26" hidden="1" x14ac:dyDescent="0.15">
      <c r="B212" s="19"/>
      <c r="C212" s="43" t="s">
        <v>518</v>
      </c>
      <c r="D212" s="20"/>
      <c r="E212" s="20"/>
      <c r="F212" s="20"/>
      <c r="G212" s="21"/>
      <c r="S212" s="12"/>
      <c r="T212" s="12"/>
      <c r="U212" s="12"/>
      <c r="V212" s="12"/>
      <c r="W212" s="12"/>
      <c r="X212" s="12"/>
      <c r="Y212" s="12"/>
      <c r="Z212" s="12"/>
    </row>
    <row r="213" spans="1:26" hidden="1" x14ac:dyDescent="0.15">
      <c r="B213" s="22"/>
      <c r="G213" s="23"/>
      <c r="S213" s="12"/>
      <c r="T213" s="12"/>
      <c r="U213" s="12"/>
      <c r="V213" s="12"/>
      <c r="W213" s="12"/>
      <c r="X213" s="12"/>
      <c r="Y213" s="12"/>
      <c r="Z213" s="12"/>
    </row>
    <row r="214" spans="1:26" hidden="1" x14ac:dyDescent="0.15">
      <c r="B214" s="22"/>
      <c r="C214" s="11">
        <f>G4</f>
        <v>1000000</v>
      </c>
      <c r="G214" s="23"/>
      <c r="S214" s="12"/>
      <c r="T214" s="12"/>
      <c r="U214" s="12"/>
      <c r="V214" s="12"/>
      <c r="W214" s="12"/>
      <c r="X214" s="12"/>
      <c r="Y214" s="12"/>
      <c r="Z214" s="12"/>
    </row>
    <row r="215" spans="1:26" hidden="1" x14ac:dyDescent="0.15">
      <c r="B215" s="22"/>
      <c r="G215" s="23"/>
      <c r="S215" s="12"/>
      <c r="T215" s="12"/>
      <c r="U215" s="12"/>
      <c r="V215" s="12"/>
      <c r="W215" s="12"/>
      <c r="X215" s="12"/>
      <c r="Y215" s="12"/>
      <c r="Z215" s="12"/>
    </row>
    <row r="216" spans="1:26" hidden="1" x14ac:dyDescent="0.15">
      <c r="B216" s="22"/>
      <c r="C216" s="18">
        <f>E18</f>
        <v>47.93</v>
      </c>
      <c r="D216" s="11">
        <f>IF(AND(G4&gt;=6000,G4&lt;10000),(G4*E18/1000)-(G4*0.5/1000),IF(AND(G4&gt;=10000,G4&lt;20000),(G4*E18/1000)-(G4*1/1000),IF(AND(G4&gt;=20000,G4&lt;50000),(G4*E18/1000)-(G4*1.5/1000),IF(AND(G4&gt;=50000,G4&lt;100000),(G4*E18/1000)-(G4*2/1000),IF(G4&gt;=100000,(G4*E18/1000)-(G4*3/1000),(G4*E18/1000))))))</f>
        <v>44930</v>
      </c>
      <c r="E216" s="11">
        <f>IF(G5=74,J260,IF(G5=18,D216,G264))</f>
        <v>47530</v>
      </c>
      <c r="G216" s="23"/>
      <c r="S216" s="12"/>
      <c r="T216" s="12"/>
      <c r="U216" s="12"/>
      <c r="V216" s="12"/>
      <c r="W216" s="12"/>
      <c r="X216" s="12"/>
      <c r="Y216" s="12"/>
      <c r="Z216" s="12"/>
    </row>
    <row r="217" spans="1:26" hidden="1" x14ac:dyDescent="0.15">
      <c r="B217" s="22"/>
      <c r="G217" s="23"/>
      <c r="S217" s="12"/>
      <c r="T217" s="12"/>
      <c r="U217" s="12"/>
      <c r="V217" s="12"/>
      <c r="W217" s="12"/>
      <c r="X217" s="12"/>
      <c r="Y217" s="12"/>
      <c r="Z217" s="12"/>
    </row>
    <row r="218" spans="1:26" hidden="1" x14ac:dyDescent="0.15">
      <c r="B218" s="22"/>
      <c r="G218" s="23"/>
      <c r="S218" s="12"/>
      <c r="T218" s="12"/>
      <c r="U218" s="12"/>
      <c r="V218" s="12"/>
      <c r="W218" s="12"/>
      <c r="X218" s="12"/>
      <c r="Y218" s="12"/>
      <c r="Z218" s="12"/>
    </row>
    <row r="219" spans="1:26" ht="14" hidden="1" thickBot="1" x14ac:dyDescent="0.2">
      <c r="B219" s="24"/>
      <c r="C219" s="25"/>
      <c r="D219" s="25"/>
      <c r="E219" s="25"/>
      <c r="F219" s="25"/>
      <c r="G219" s="26"/>
      <c r="S219" s="12"/>
      <c r="T219" s="12"/>
      <c r="U219" s="12"/>
      <c r="V219" s="12"/>
      <c r="W219" s="12"/>
      <c r="X219" s="12"/>
      <c r="Y219" s="12"/>
      <c r="Z219" s="12"/>
    </row>
    <row r="220" spans="1:26" ht="14" hidden="1" thickBot="1" x14ac:dyDescent="0.2">
      <c r="S220" s="12"/>
      <c r="T220" s="12"/>
      <c r="U220" s="12"/>
      <c r="V220" s="12"/>
      <c r="W220" s="12"/>
      <c r="X220" s="12"/>
      <c r="Y220" s="12"/>
      <c r="Z220" s="12"/>
    </row>
    <row r="221" spans="1:26" hidden="1" x14ac:dyDescent="0.15">
      <c r="A221" s="19"/>
      <c r="B221" s="20"/>
      <c r="C221" s="20"/>
      <c r="D221" s="20"/>
      <c r="E221" s="20"/>
      <c r="F221" s="20"/>
      <c r="G221" s="20"/>
      <c r="H221" s="21"/>
      <c r="I221" s="19"/>
      <c r="J221" s="21"/>
      <c r="S221" s="12"/>
      <c r="T221" s="12"/>
      <c r="U221" s="12"/>
      <c r="V221" s="12"/>
      <c r="W221" s="12"/>
      <c r="X221" s="12"/>
      <c r="Y221" s="12"/>
      <c r="Z221" s="12"/>
    </row>
    <row r="222" spans="1:26" hidden="1" x14ac:dyDescent="0.15">
      <c r="A222" s="31" t="s">
        <v>257</v>
      </c>
      <c r="H222" s="23"/>
      <c r="I222" s="22"/>
      <c r="J222" s="23"/>
      <c r="S222" s="12"/>
      <c r="T222" s="12"/>
      <c r="U222" s="12"/>
      <c r="V222" s="12"/>
      <c r="W222" s="12"/>
      <c r="X222" s="12"/>
      <c r="Y222" s="12"/>
      <c r="Z222" s="12"/>
    </row>
    <row r="223" spans="1:26" hidden="1" x14ac:dyDescent="0.15">
      <c r="A223" s="22"/>
      <c r="C223" s="11">
        <v>18</v>
      </c>
      <c r="D223" s="11">
        <f>G7</f>
        <v>2</v>
      </c>
      <c r="E223" s="11">
        <f>C223-D223</f>
        <v>16</v>
      </c>
      <c r="F223" s="11" t="str">
        <f>"Available Terms  "&amp;E223&amp;","&amp;E224&amp;", "&amp;E225&amp;"."</f>
        <v>Available Terms  16,19, 23.</v>
      </c>
      <c r="H223" s="23"/>
      <c r="I223" s="22"/>
      <c r="J223" s="23"/>
      <c r="S223" s="12"/>
      <c r="T223" s="12"/>
      <c r="U223" s="12"/>
      <c r="V223" s="12"/>
      <c r="W223" s="12"/>
      <c r="X223" s="12"/>
      <c r="Y223" s="12"/>
      <c r="Z223" s="12"/>
    </row>
    <row r="224" spans="1:26" hidden="1" x14ac:dyDescent="0.15">
      <c r="A224" s="22"/>
      <c r="C224" s="11">
        <v>21</v>
      </c>
      <c r="D224" s="11">
        <f>G7</f>
        <v>2</v>
      </c>
      <c r="E224" s="11">
        <f>C224-D224</f>
        <v>19</v>
      </c>
      <c r="H224" s="23"/>
      <c r="I224" s="31" t="s">
        <v>517</v>
      </c>
      <c r="J224" s="23" t="str">
        <f>IF(OR(G5=1,G5=4),"",IF(G5=2,"Premium Paying Term",IF(OR(G5=75,G5=76),F223,"Term of Policy")))</f>
        <v>Term of Policy</v>
      </c>
      <c r="S224" s="12"/>
      <c r="T224" s="12"/>
      <c r="U224" s="12"/>
      <c r="V224" s="12"/>
      <c r="W224" s="12"/>
      <c r="X224" s="12"/>
      <c r="Y224" s="12"/>
      <c r="Z224" s="12"/>
    </row>
    <row r="225" spans="1:26" hidden="1" x14ac:dyDescent="0.15">
      <c r="A225" s="22"/>
      <c r="C225" s="11">
        <v>25</v>
      </c>
      <c r="D225" s="11">
        <f>G7</f>
        <v>2</v>
      </c>
      <c r="E225" s="11">
        <f>C225-D225</f>
        <v>23</v>
      </c>
      <c r="H225" s="23"/>
      <c r="I225" s="22"/>
      <c r="J225" s="23"/>
      <c r="S225" s="12"/>
      <c r="T225" s="12"/>
      <c r="U225" s="12"/>
      <c r="V225" s="12"/>
      <c r="W225" s="12"/>
      <c r="X225" s="12"/>
      <c r="Y225" s="12"/>
      <c r="Z225" s="12"/>
    </row>
    <row r="226" spans="1:26" hidden="1" x14ac:dyDescent="0.15">
      <c r="A226" s="22"/>
      <c r="H226" s="23"/>
      <c r="I226" s="22"/>
      <c r="J226" s="23" t="str">
        <f>IF(AND(G5=2,G8=70),"Premium Ceasing at Age",J224)</f>
        <v>Term of Policy</v>
      </c>
      <c r="S226" s="12"/>
      <c r="T226" s="12"/>
      <c r="U226" s="12"/>
      <c r="V226" s="12"/>
      <c r="W226" s="12"/>
      <c r="X226" s="12"/>
      <c r="Y226" s="12"/>
      <c r="Z226" s="12"/>
    </row>
    <row r="227" spans="1:26" hidden="1" x14ac:dyDescent="0.15">
      <c r="A227" s="22"/>
      <c r="H227" s="23"/>
      <c r="I227" s="22"/>
      <c r="J227" s="23"/>
      <c r="S227" s="12"/>
      <c r="T227" s="12"/>
      <c r="U227" s="12"/>
      <c r="V227" s="12"/>
      <c r="W227" s="12"/>
      <c r="X227" s="12"/>
      <c r="Y227" s="12"/>
      <c r="Z227" s="12"/>
    </row>
    <row r="228" spans="1:26" ht="14" hidden="1" thickBot="1" x14ac:dyDescent="0.2">
      <c r="A228" s="24"/>
      <c r="B228" s="25"/>
      <c r="C228" s="25"/>
      <c r="D228" s="25"/>
      <c r="E228" s="25"/>
      <c r="F228" s="25"/>
      <c r="G228" s="25"/>
      <c r="H228" s="26"/>
      <c r="I228" s="24"/>
      <c r="J228" s="26"/>
      <c r="S228" s="12"/>
      <c r="T228" s="12"/>
      <c r="U228" s="12"/>
      <c r="V228" s="12"/>
      <c r="W228" s="12"/>
      <c r="X228" s="12"/>
      <c r="Y228" s="12"/>
      <c r="Z228" s="12"/>
    </row>
    <row r="229" spans="1:26" hidden="1" x14ac:dyDescent="0.15">
      <c r="S229" s="12"/>
      <c r="T229" s="12"/>
      <c r="U229" s="12"/>
      <c r="V229" s="12"/>
      <c r="W229" s="12"/>
      <c r="X229" s="12"/>
      <c r="Y229" s="12"/>
      <c r="Z229" s="12"/>
    </row>
    <row r="230" spans="1:26" ht="14" hidden="1" thickBot="1" x14ac:dyDescent="0.2">
      <c r="S230" s="12"/>
      <c r="T230" s="12"/>
      <c r="U230" s="12"/>
      <c r="V230" s="12"/>
      <c r="W230" s="12"/>
      <c r="X230" s="12"/>
      <c r="Y230" s="12"/>
      <c r="Z230" s="12"/>
    </row>
    <row r="231" spans="1:26" hidden="1" x14ac:dyDescent="0.15">
      <c r="A231" s="30" t="s">
        <v>255</v>
      </c>
      <c r="B231" s="20"/>
      <c r="C231" s="20"/>
      <c r="D231" s="20"/>
      <c r="E231" s="20"/>
      <c r="F231" s="20"/>
      <c r="G231" s="21"/>
      <c r="S231" s="12"/>
      <c r="T231" s="12"/>
      <c r="U231" s="12"/>
      <c r="V231" s="12"/>
      <c r="W231" s="12"/>
      <c r="X231" s="12"/>
      <c r="Y231" s="12"/>
      <c r="Z231" s="12"/>
    </row>
    <row r="232" spans="1:26" hidden="1" x14ac:dyDescent="0.15">
      <c r="A232" s="22"/>
      <c r="B232" s="11" t="str">
        <f>IF(G5=1,LOOKUP(G5,table,plan),IF(G5=2,LOOKUP(G5,table,plan),IF(G5=3,LOOKUP(G5,table,plan),IF(G5=4,LOOKUP(G5,table,plan),IF(G5=5,LOOKUP(G5,table,plan),IF(G5=6,LOOKUP(G5,table,plan),IF(G5=7,LOOKUP(G5,table,plan),G232)))))))</f>
        <v>Endowment Assurance</v>
      </c>
      <c r="G232" s="331" t="str">
        <f>IF(G5=9,LOOKUP(G5,table,plan),IF(G5=12,LOOKUP(G5,table,plan),IF(G5=17,LOOKUP(G5,table,plan),IF(G5=18,LOOKUP(G5,table,plan),IF(G5=19,LOOKUP(G5,table,plan),IF(G5=36,LOOKUP(G5,table,plan),IF(G5=24,LOOKUP(G5,table,plan),IF(G5=25,LOOKUP(G5,table,plan),IF(G5=74,LOOKUP(G5,table,plan),IF(G5=75,LOOKUP(G5,table,plan),IF(G5=76,LOOKUP(G5,table,plan),IF(G5=78,LOOKUP(G5,table,plan),""))))))))))))</f>
        <v/>
      </c>
      <c r="S232" s="12"/>
      <c r="T232" s="12"/>
      <c r="U232" s="12"/>
      <c r="V232" s="12"/>
      <c r="W232" s="12"/>
      <c r="X232" s="12"/>
      <c r="Y232" s="12"/>
      <c r="Z232" s="12"/>
    </row>
    <row r="233" spans="1:26" hidden="1" x14ac:dyDescent="0.15">
      <c r="A233" s="22"/>
      <c r="G233" s="23"/>
      <c r="S233" s="12"/>
      <c r="T233" s="12"/>
      <c r="U233" s="12"/>
      <c r="V233" s="12"/>
      <c r="W233" s="12"/>
      <c r="X233" s="12"/>
      <c r="Y233" s="12"/>
      <c r="Z233" s="12"/>
    </row>
    <row r="234" spans="1:26" hidden="1" x14ac:dyDescent="0.15">
      <c r="A234" s="22" t="s">
        <v>238</v>
      </c>
      <c r="B234" s="11" t="s">
        <v>239</v>
      </c>
      <c r="G234" s="23"/>
      <c r="S234" s="12"/>
      <c r="T234" s="12"/>
      <c r="U234" s="12"/>
      <c r="V234" s="12"/>
      <c r="W234" s="12"/>
      <c r="X234" s="12"/>
      <c r="Y234" s="12"/>
      <c r="Z234" s="12"/>
    </row>
    <row r="235" spans="1:26" hidden="1" x14ac:dyDescent="0.15">
      <c r="A235" s="22">
        <v>1</v>
      </c>
      <c r="B235" s="11" t="s">
        <v>240</v>
      </c>
      <c r="G235" s="23"/>
      <c r="S235" s="12"/>
      <c r="T235" s="12"/>
      <c r="U235" s="12"/>
      <c r="V235" s="12"/>
      <c r="W235" s="12"/>
      <c r="X235" s="12"/>
      <c r="Y235" s="12"/>
      <c r="Z235" s="12"/>
    </row>
    <row r="236" spans="1:26" hidden="1" x14ac:dyDescent="0.15">
      <c r="A236" s="22">
        <v>2</v>
      </c>
      <c r="B236" s="11" t="s">
        <v>497</v>
      </c>
      <c r="G236" s="23"/>
      <c r="S236" s="12"/>
      <c r="T236" s="12"/>
      <c r="U236" s="12"/>
      <c r="V236" s="12"/>
      <c r="W236" s="12"/>
      <c r="X236" s="12"/>
      <c r="Y236" s="12"/>
      <c r="Z236" s="12"/>
    </row>
    <row r="237" spans="1:26" hidden="1" x14ac:dyDescent="0.15">
      <c r="A237" s="22">
        <v>3</v>
      </c>
      <c r="B237" s="11" t="s">
        <v>241</v>
      </c>
      <c r="G237" s="23"/>
      <c r="S237" s="12"/>
      <c r="T237" s="12"/>
      <c r="U237" s="12"/>
      <c r="V237" s="12"/>
      <c r="W237" s="12"/>
      <c r="X237" s="12"/>
      <c r="Y237" s="12"/>
      <c r="Z237" s="12"/>
    </row>
    <row r="238" spans="1:26" hidden="1" x14ac:dyDescent="0.15">
      <c r="A238" s="22">
        <v>4</v>
      </c>
      <c r="B238" s="11" t="s">
        <v>498</v>
      </c>
      <c r="G238" s="23"/>
      <c r="S238" s="12"/>
      <c r="T238" s="12"/>
      <c r="U238" s="12"/>
      <c r="V238" s="12"/>
      <c r="W238" s="12"/>
      <c r="X238" s="12"/>
      <c r="Y238" s="12"/>
      <c r="Z238" s="12"/>
    </row>
    <row r="239" spans="1:26" hidden="1" x14ac:dyDescent="0.15">
      <c r="A239" s="22">
        <v>5</v>
      </c>
      <c r="B239" s="11" t="s">
        <v>499</v>
      </c>
      <c r="G239" s="23"/>
      <c r="S239" s="12"/>
      <c r="T239" s="12"/>
      <c r="U239" s="12"/>
      <c r="V239" s="12"/>
      <c r="W239" s="12"/>
      <c r="X239" s="12"/>
      <c r="Y239" s="12"/>
      <c r="Z239" s="12"/>
    </row>
    <row r="240" spans="1:26" hidden="1" x14ac:dyDescent="0.15">
      <c r="A240" s="22">
        <v>6</v>
      </c>
      <c r="B240" s="11" t="s">
        <v>500</v>
      </c>
      <c r="G240" s="23"/>
      <c r="S240" s="12"/>
      <c r="T240" s="12"/>
      <c r="U240" s="12"/>
      <c r="V240" s="12"/>
      <c r="W240" s="12"/>
      <c r="X240" s="12"/>
      <c r="Y240" s="12"/>
      <c r="Z240" s="12"/>
    </row>
    <row r="241" spans="1:26" hidden="1" x14ac:dyDescent="0.15">
      <c r="A241" s="22">
        <v>7</v>
      </c>
      <c r="B241" s="11" t="s">
        <v>243</v>
      </c>
      <c r="G241" s="23"/>
      <c r="S241" s="12"/>
      <c r="T241" s="12"/>
      <c r="U241" s="12"/>
      <c r="V241" s="12"/>
      <c r="W241" s="12"/>
      <c r="X241" s="12"/>
      <c r="Y241" s="12"/>
      <c r="Z241" s="12"/>
    </row>
    <row r="242" spans="1:26" hidden="1" x14ac:dyDescent="0.15">
      <c r="A242" s="22">
        <v>9</v>
      </c>
      <c r="B242" s="11" t="s">
        <v>501</v>
      </c>
      <c r="G242" s="23"/>
      <c r="S242" s="12"/>
      <c r="T242" s="12"/>
      <c r="U242" s="12"/>
      <c r="V242" s="12"/>
      <c r="W242" s="12"/>
      <c r="X242" s="12"/>
      <c r="Y242" s="12"/>
      <c r="Z242" s="12"/>
    </row>
    <row r="243" spans="1:26" hidden="1" x14ac:dyDescent="0.15">
      <c r="A243" s="22">
        <v>12</v>
      </c>
      <c r="B243" s="11" t="s">
        <v>502</v>
      </c>
      <c r="G243" s="23"/>
      <c r="S243" s="12"/>
      <c r="T243" s="12"/>
      <c r="U243" s="12"/>
      <c r="V243" s="12"/>
      <c r="W243" s="12"/>
      <c r="X243" s="12"/>
      <c r="Y243" s="12"/>
      <c r="Z243" s="12"/>
    </row>
    <row r="244" spans="1:26" hidden="1" x14ac:dyDescent="0.15">
      <c r="A244" s="22">
        <v>17</v>
      </c>
      <c r="B244" s="11" t="s">
        <v>509</v>
      </c>
      <c r="G244" s="23"/>
      <c r="S244" s="12"/>
      <c r="T244" s="12"/>
      <c r="U244" s="12"/>
      <c r="V244" s="12"/>
      <c r="W244" s="12"/>
      <c r="X244" s="12"/>
      <c r="Y244" s="12"/>
      <c r="Z244" s="12"/>
    </row>
    <row r="245" spans="1:26" hidden="1" x14ac:dyDescent="0.15">
      <c r="A245" s="22">
        <v>18</v>
      </c>
      <c r="B245" s="11" t="s">
        <v>503</v>
      </c>
      <c r="G245" s="23"/>
      <c r="S245" s="12"/>
      <c r="T245" s="12"/>
      <c r="U245" s="12"/>
      <c r="V245" s="12"/>
      <c r="W245" s="12"/>
      <c r="X245" s="12"/>
      <c r="Y245" s="12"/>
      <c r="Z245" s="12"/>
    </row>
    <row r="246" spans="1:26" hidden="1" x14ac:dyDescent="0.15">
      <c r="A246" s="22">
        <v>19</v>
      </c>
      <c r="B246" s="11" t="s">
        <v>510</v>
      </c>
      <c r="G246" s="23"/>
      <c r="S246" s="12"/>
      <c r="T246" s="12"/>
      <c r="U246" s="12"/>
      <c r="V246" s="12"/>
      <c r="W246" s="12"/>
      <c r="X246" s="12"/>
      <c r="Y246" s="12"/>
      <c r="Z246" s="12"/>
    </row>
    <row r="247" spans="1:26" hidden="1" x14ac:dyDescent="0.15">
      <c r="A247" s="22">
        <v>24</v>
      </c>
      <c r="B247" s="11" t="s">
        <v>511</v>
      </c>
      <c r="G247" s="23"/>
      <c r="S247" s="12"/>
      <c r="T247" s="12"/>
      <c r="U247" s="12"/>
      <c r="V247" s="12"/>
      <c r="W247" s="12"/>
      <c r="X247" s="12"/>
      <c r="Y247" s="12"/>
      <c r="Z247" s="12"/>
    </row>
    <row r="248" spans="1:26" hidden="1" x14ac:dyDescent="0.15">
      <c r="A248" s="22">
        <v>25</v>
      </c>
      <c r="B248" s="11" t="s">
        <v>512</v>
      </c>
      <c r="G248" s="23"/>
      <c r="S248" s="12"/>
      <c r="T248" s="12"/>
      <c r="U248" s="12"/>
      <c r="V248" s="12"/>
      <c r="W248" s="12"/>
      <c r="X248" s="12"/>
      <c r="Y248" s="12"/>
      <c r="Z248" s="12"/>
    </row>
    <row r="249" spans="1:26" hidden="1" x14ac:dyDescent="0.15">
      <c r="A249" s="22">
        <v>36</v>
      </c>
      <c r="B249" s="11" t="s">
        <v>508</v>
      </c>
      <c r="G249" s="23"/>
      <c r="S249" s="12"/>
      <c r="T249" s="12"/>
      <c r="U249" s="12"/>
      <c r="V249" s="12"/>
      <c r="W249" s="12"/>
      <c r="X249" s="12"/>
      <c r="Y249" s="12"/>
      <c r="Z249" s="12"/>
    </row>
    <row r="250" spans="1:26" hidden="1" x14ac:dyDescent="0.15">
      <c r="A250" s="22">
        <v>74</v>
      </c>
      <c r="B250" s="11" t="s">
        <v>504</v>
      </c>
      <c r="G250" s="23"/>
      <c r="S250" s="12"/>
      <c r="T250" s="12"/>
      <c r="U250" s="12"/>
      <c r="V250" s="12"/>
      <c r="W250" s="12"/>
      <c r="X250" s="12"/>
      <c r="Y250" s="12"/>
      <c r="Z250" s="12"/>
    </row>
    <row r="251" spans="1:26" hidden="1" x14ac:dyDescent="0.15">
      <c r="A251" s="22">
        <v>75</v>
      </c>
      <c r="B251" s="11" t="s">
        <v>513</v>
      </c>
      <c r="G251" s="23"/>
      <c r="S251" s="12"/>
      <c r="T251" s="12"/>
      <c r="U251" s="12"/>
      <c r="V251" s="12"/>
      <c r="W251" s="12"/>
      <c r="X251" s="12"/>
      <c r="Y251" s="12"/>
      <c r="Z251" s="12"/>
    </row>
    <row r="252" spans="1:26" hidden="1" x14ac:dyDescent="0.15">
      <c r="A252" s="22">
        <v>76</v>
      </c>
      <c r="B252" s="11" t="s">
        <v>514</v>
      </c>
      <c r="G252" s="23"/>
      <c r="S252" s="12"/>
      <c r="T252" s="12"/>
      <c r="U252" s="12"/>
      <c r="V252" s="12"/>
      <c r="W252" s="12"/>
      <c r="X252" s="12"/>
      <c r="Y252" s="12"/>
      <c r="Z252" s="12"/>
    </row>
    <row r="253" spans="1:26" hidden="1" x14ac:dyDescent="0.15">
      <c r="A253" s="22">
        <v>78</v>
      </c>
      <c r="B253" s="11" t="s">
        <v>248</v>
      </c>
      <c r="G253" s="23"/>
      <c r="S253" s="12"/>
      <c r="T253" s="12"/>
      <c r="U253" s="12"/>
      <c r="V253" s="12"/>
      <c r="W253" s="12"/>
      <c r="X253" s="12"/>
      <c r="Y253" s="12"/>
      <c r="Z253" s="12"/>
    </row>
    <row r="254" spans="1:26" ht="14" hidden="1" thickBot="1" x14ac:dyDescent="0.2">
      <c r="A254" s="24"/>
      <c r="B254" s="25"/>
      <c r="C254" s="25"/>
      <c r="D254" s="25"/>
      <c r="E254" s="25"/>
      <c r="F254" s="25"/>
      <c r="G254" s="26"/>
      <c r="S254" s="12"/>
      <c r="T254" s="12"/>
      <c r="U254" s="12"/>
      <c r="V254" s="12"/>
      <c r="W254" s="12"/>
      <c r="X254" s="12"/>
      <c r="Y254" s="12"/>
      <c r="Z254" s="12"/>
    </row>
    <row r="255" spans="1:26" ht="14" hidden="1" thickBot="1" x14ac:dyDescent="0.2">
      <c r="S255" s="12"/>
      <c r="T255" s="12"/>
      <c r="U255" s="12"/>
      <c r="V255" s="12"/>
      <c r="W255" s="12"/>
      <c r="X255" s="12"/>
      <c r="Y255" s="12"/>
      <c r="Z255" s="12"/>
    </row>
    <row r="256" spans="1:26" hidden="1" x14ac:dyDescent="0.15">
      <c r="A256" s="19"/>
      <c r="B256" s="20"/>
      <c r="C256" s="20" t="s">
        <v>250</v>
      </c>
      <c r="D256" s="20" t="s">
        <v>251</v>
      </c>
      <c r="E256" s="20" t="s">
        <v>252</v>
      </c>
      <c r="F256" s="20" t="s">
        <v>253</v>
      </c>
      <c r="G256" s="21" t="s">
        <v>254</v>
      </c>
      <c r="I256" s="19"/>
      <c r="J256" s="21"/>
      <c r="S256" s="12"/>
      <c r="T256" s="12"/>
      <c r="U256" s="12"/>
      <c r="V256" s="12"/>
      <c r="W256" s="12"/>
      <c r="X256" s="12"/>
      <c r="Y256" s="12"/>
      <c r="Z256" s="12"/>
    </row>
    <row r="257" spans="1:26" ht="14" hidden="1" thickBot="1" x14ac:dyDescent="0.2">
      <c r="A257" s="29" t="s">
        <v>249</v>
      </c>
      <c r="B257" s="25"/>
      <c r="C257" s="25">
        <f>G4</f>
        <v>1000000</v>
      </c>
      <c r="D257" s="25">
        <v>2.5</v>
      </c>
      <c r="E257" s="25">
        <v>1000</v>
      </c>
      <c r="F257" s="25">
        <f>C257*D257/E257</f>
        <v>2500</v>
      </c>
      <c r="G257" s="26">
        <f>IF(F257&gt;100,100,F257)</f>
        <v>100</v>
      </c>
      <c r="I257" s="22"/>
      <c r="J257" s="27" t="str">
        <f>D266</f>
        <v/>
      </c>
      <c r="S257" s="12"/>
      <c r="T257" s="12"/>
      <c r="U257" s="12"/>
      <c r="V257" s="12"/>
      <c r="W257" s="12"/>
      <c r="X257" s="12"/>
      <c r="Y257" s="12"/>
      <c r="Z257" s="12"/>
    </row>
    <row r="258" spans="1:26" ht="14" hidden="1" thickBot="1" x14ac:dyDescent="0.2">
      <c r="I258" s="22">
        <f>IF(AND(G4&gt;10000000,G5=74),10000000,G4)</f>
        <v>1000000</v>
      </c>
      <c r="J258" s="23" t="str">
        <f>IF(AND(G4&gt;10000000,G5=74),G4-10000000,"")</f>
        <v/>
      </c>
      <c r="S258" s="12"/>
      <c r="T258" s="12"/>
      <c r="U258" s="12"/>
      <c r="V258" s="12"/>
      <c r="W258" s="12"/>
      <c r="X258" s="12"/>
      <c r="Y258" s="12"/>
      <c r="Z258" s="12"/>
    </row>
    <row r="259" spans="1:26" hidden="1" x14ac:dyDescent="0.15">
      <c r="A259" s="19"/>
      <c r="B259" s="20"/>
      <c r="C259" s="20"/>
      <c r="D259" s="21"/>
      <c r="I259" s="22">
        <f>IF(I258&gt;=300000,(I258*E18/1000)-(I258*0.5/1000)+G257,(I258*E18/1000)+G257)</f>
        <v>47530</v>
      </c>
      <c r="J259" s="23" t="str">
        <f>IF(AND(G4&gt;10000000,G5=74),(J257-0.5)*J258/1000,"")</f>
        <v/>
      </c>
      <c r="S259" s="12"/>
      <c r="T259" s="12"/>
      <c r="U259" s="12"/>
      <c r="V259" s="12"/>
      <c r="W259" s="12"/>
      <c r="X259" s="12"/>
      <c r="Y259" s="12"/>
      <c r="Z259" s="12"/>
    </row>
    <row r="260" spans="1:26" hidden="1" x14ac:dyDescent="0.15">
      <c r="A260" s="31" t="s">
        <v>237</v>
      </c>
      <c r="D260" s="27">
        <f>SUM(J9:J16)</f>
        <v>48780</v>
      </c>
      <c r="I260" s="31" t="s">
        <v>515</v>
      </c>
      <c r="J260" s="41">
        <f>IF(AND(G4&gt;10000000,G5=74),(I259+J259),I259)</f>
        <v>47530</v>
      </c>
      <c r="S260" s="12"/>
      <c r="T260" s="12"/>
      <c r="U260" s="12"/>
      <c r="V260" s="12"/>
      <c r="W260" s="12"/>
      <c r="X260" s="12"/>
      <c r="Y260" s="12"/>
      <c r="Z260" s="12"/>
    </row>
    <row r="261" spans="1:26" ht="14" hidden="1" thickBot="1" x14ac:dyDescent="0.2">
      <c r="A261" s="24"/>
      <c r="B261" s="25"/>
      <c r="C261" s="25"/>
      <c r="D261" s="28"/>
      <c r="I261" s="24"/>
      <c r="J261" s="26"/>
      <c r="S261" s="12"/>
      <c r="T261" s="12"/>
      <c r="U261" s="12"/>
      <c r="V261" s="12"/>
      <c r="W261" s="12"/>
      <c r="X261" s="12"/>
      <c r="Y261" s="12"/>
      <c r="Z261" s="12"/>
    </row>
    <row r="262" spans="1:26" ht="14" hidden="1" thickBot="1" x14ac:dyDescent="0.2">
      <c r="D262" s="18"/>
      <c r="S262" s="12"/>
      <c r="T262" s="12"/>
      <c r="U262" s="12"/>
      <c r="V262" s="12"/>
      <c r="W262" s="12"/>
      <c r="X262" s="12"/>
      <c r="Y262" s="12"/>
      <c r="Z262" s="12"/>
    </row>
    <row r="263" spans="1:26" hidden="1" x14ac:dyDescent="0.15">
      <c r="A263" s="19"/>
      <c r="B263" s="43"/>
      <c r="C263" s="20"/>
      <c r="D263" s="20"/>
      <c r="E263" s="20"/>
      <c r="F263" s="20"/>
      <c r="G263" s="20"/>
      <c r="H263" s="20"/>
      <c r="I263" s="20"/>
      <c r="J263" s="20"/>
      <c r="K263" s="21"/>
      <c r="S263" s="12"/>
      <c r="T263" s="12"/>
      <c r="U263" s="12"/>
      <c r="V263" s="12"/>
      <c r="W263" s="12"/>
      <c r="X263" s="12"/>
      <c r="Y263" s="12"/>
      <c r="Z263" s="12"/>
    </row>
    <row r="264" spans="1:26" ht="14" hidden="1" thickBot="1" x14ac:dyDescent="0.2">
      <c r="A264" s="24"/>
      <c r="B264" s="333" t="s">
        <v>516</v>
      </c>
      <c r="C264" s="25"/>
      <c r="D264" s="42"/>
      <c r="E264" s="25"/>
      <c r="F264" s="25"/>
      <c r="G264" s="334">
        <f>IF(G4&gt;=300000,(G4*E18/1000)-(G4*0.5/1000)+G257,(G4*E18/1000)+G257)</f>
        <v>47530</v>
      </c>
      <c r="H264" s="25"/>
      <c r="I264" s="25"/>
      <c r="J264" s="25"/>
      <c r="K264" s="26"/>
      <c r="S264" s="12"/>
      <c r="T264" s="12"/>
      <c r="U264" s="12"/>
      <c r="V264" s="12"/>
      <c r="W264" s="12"/>
      <c r="X264" s="12"/>
      <c r="Y264" s="12"/>
      <c r="Z264" s="12"/>
    </row>
    <row r="265" spans="1:26" hidden="1" x14ac:dyDescent="0.15">
      <c r="A265" s="31" t="s">
        <v>256</v>
      </c>
      <c r="D265" s="18"/>
      <c r="K265" s="23"/>
      <c r="S265" s="12"/>
      <c r="T265" s="12"/>
      <c r="U265" s="12"/>
      <c r="V265" s="12"/>
      <c r="W265" s="12"/>
      <c r="X265" s="12"/>
      <c r="Y265" s="12"/>
      <c r="Z265" s="12"/>
    </row>
    <row r="266" spans="1:26" hidden="1" x14ac:dyDescent="0.15">
      <c r="A266" s="22" t="s">
        <v>507</v>
      </c>
      <c r="D266" s="332" t="str">
        <f>IF(AND(G4&gt;10000000,G5=74),C317,"")</f>
        <v/>
      </c>
      <c r="K266" s="23"/>
      <c r="S266" s="12"/>
      <c r="T266" s="12"/>
      <c r="U266" s="12"/>
      <c r="V266" s="12"/>
      <c r="W266" s="12"/>
      <c r="X266" s="12"/>
      <c r="Y266" s="12"/>
      <c r="Z266" s="12"/>
    </row>
    <row r="267" spans="1:26" hidden="1" x14ac:dyDescent="0.15">
      <c r="A267" s="22" t="s">
        <v>230</v>
      </c>
      <c r="C267" s="11">
        <f>IF(G5=1,C269,IF(G5=3,C271,IF(G5=5,C273,IF(G5=7,C275,IF(G5=19,C277,IF(G5=36,C279,IF(G5=75,C281,IF(G5=76,C283,D267))))))))</f>
        <v>47.93</v>
      </c>
      <c r="D267" s="11" t="str">
        <f>IF(G5=2,C297,IF(G5=4,C299,IF(G5=6,C301,IF(G5=9,C303,IF(G5=12,C305,IF(G5=17,C307,IF(G5=18,C309,IF(G5=24,C311,IF(G5=25,C313,IF(G5=74,C315,IF(G5=78,C285,"0")))))))))))</f>
        <v>0</v>
      </c>
      <c r="K267" s="23"/>
      <c r="S267" s="12"/>
      <c r="T267" s="12"/>
      <c r="U267" s="12"/>
      <c r="V267" s="12"/>
      <c r="W267" s="12"/>
      <c r="X267" s="12"/>
      <c r="Y267" s="12"/>
      <c r="Z267" s="12"/>
    </row>
    <row r="268" spans="1:26" hidden="1" x14ac:dyDescent="0.15">
      <c r="A268" s="22"/>
      <c r="C268" s="11" t="s">
        <v>178</v>
      </c>
      <c r="D268" s="11" t="s">
        <v>179</v>
      </c>
      <c r="E268" s="11" t="s">
        <v>180</v>
      </c>
      <c r="F268" s="11" t="s">
        <v>181</v>
      </c>
      <c r="G268" s="11" t="s">
        <v>182</v>
      </c>
      <c r="H268" s="11" t="s">
        <v>223</v>
      </c>
      <c r="I268" s="11" t="s">
        <v>224</v>
      </c>
      <c r="J268" s="11" t="s">
        <v>225</v>
      </c>
      <c r="K268" s="23"/>
      <c r="Q268" s="12"/>
      <c r="R268" s="12"/>
      <c r="S268" s="12"/>
      <c r="T268" s="12"/>
      <c r="U268" s="12"/>
      <c r="V268" s="12"/>
      <c r="W268" s="12"/>
      <c r="X268" s="12"/>
    </row>
    <row r="269" spans="1:26" hidden="1" x14ac:dyDescent="0.15">
      <c r="A269" s="22" t="s">
        <v>211</v>
      </c>
      <c r="C269" s="11" t="str">
        <f>IF(G5=1,LOOKUP(G6,Age,Term01),"0")</f>
        <v>0</v>
      </c>
      <c r="K269" s="23"/>
      <c r="Q269" s="12"/>
      <c r="R269" s="12"/>
      <c r="S269" s="12"/>
      <c r="T269" s="12"/>
      <c r="U269" s="12"/>
      <c r="V269" s="12"/>
      <c r="W269" s="12"/>
      <c r="X269" s="12"/>
    </row>
    <row r="270" spans="1:26" hidden="1" x14ac:dyDescent="0.15">
      <c r="A270" s="22"/>
      <c r="K270" s="23"/>
      <c r="Q270" s="12"/>
      <c r="R270" s="12"/>
      <c r="S270" s="12"/>
      <c r="T270" s="12"/>
      <c r="U270" s="12"/>
      <c r="V270" s="12"/>
      <c r="W270" s="12"/>
      <c r="X270" s="12"/>
    </row>
    <row r="271" spans="1:26" hidden="1" x14ac:dyDescent="0.15">
      <c r="A271" s="22" t="s">
        <v>209</v>
      </c>
      <c r="C271" s="11">
        <f>IF(AND(G8=10,G5=3),LOOKUP(G6,Age,Term0310),IF(AND(G8=11,G5=3),LOOKUP(G6,Age,Term0311),IF(AND(G8=12,G5=3),LOOKUP(G6,Age,Term0312),IF(AND(G8=13,G5=3),LOOKUP(G6,Age,Term0313),IF(AND(G8=14,G5=3),LOOKUP(G6,Age,Term0314),IF(AND(G8=15,G5=3),LOOKUP(G6,Age,Term0315),IF(AND(G8=16,G5=3),LOOKUP(G6,Age,Term0316),D271)))))))</f>
        <v>47.93</v>
      </c>
      <c r="D271" s="11">
        <f>IF(AND(G8=17,G5=3),LOOKUP(G6,Age,Term0317),IF(AND(G8=18,G5=3),LOOKUP(G6,Age,Term0318),IF(AND(G8=19,G5=3),LOOKUP(G6,Age,Term0319),IF(AND(G8=20,G5=3),LOOKUP(G6,Age,Term0320),IF(AND(G8=21,G5=3),LOOKUP(G6,Age,Term0321),IF(AND(G8=22,G5=3),LOOKUP(G6,Age,Term0322),IF(AND(G8=23,G5=3),LOOKUP(G6,Age,Term0323),E271)))))))</f>
        <v>47.93</v>
      </c>
      <c r="E271" s="11" t="str">
        <f>IF(AND(G8=24,G5=3),LOOKUP(G6,Age,Term0324),IF(AND(G8=25,G5=3),LOOKUP(G6,Age,Term0325),IF(AND(G8=26,G5=3),LOOKUP(G6,Age,Term0326),IF(AND(G8=27,G5=3),LOOKUP(G6,Age,Term0327),IF(AND(G8=28,G5=3),LOOKUP(G6,Age,Term0328),IF(AND(G8=29,G5=3),LOOKUP(G6,Age,Term0329),IF(AND(G8=30,G5=3),LOOKUP(G6,Age,Term0330),F271)))))))</f>
        <v>0</v>
      </c>
      <c r="F271" s="11" t="str">
        <f>IF(AND(G8=31,G5=3),LOOKUP(G6,Age,Term0331),IF(AND(G8=32,G5=3),LOOKUP(G6,Age,Term0332),IF(AND(G8=33,G5=3),LOOKUP(G6,Age,Term0333),IF(AND(G8=34,G5=3),LOOKUP(G6,Age,Term0334),IF(AND(G8=35,G5=3),LOOKUP(G6,Age,Term0335),IF(AND(G8=36,G5=3),LOOKUP(G6,Age,Term0336),IF(AND(G8=37,G5=3),LOOKUP(G6,Age,Term0337),G271)))))))</f>
        <v>0</v>
      </c>
      <c r="G271" s="11" t="str">
        <f>IF(AND(G8=38,G5=3),LOOKUP(G6,Age,Term0338),IF(AND(G8=39,G5=3),LOOKUP(G6,Age,Term0339),IF(AND(G8=40,G5=3),LOOKUP(G6,Age,Term0340),IF(AND(G8=41,G5=3),LOOKUP(G6,Age,Term0341),IF(AND(G8=42,G5=3),LOOKUP(G6,Age,Term0342),IF(AND(G8=43,G5=3),LOOKUP(G6,Age,Term0343),IF(AND(G8=44,G5=3),LOOKUP(G6,Age,Term0344),H271)))))))</f>
        <v>0</v>
      </c>
      <c r="H271" s="11" t="str">
        <f>IF(AND(G8=45,G5=3),LOOKUP(G6,Age,Term0345),IF(AND(G8=46,G5=3),LOOKUP(G6,Age,Term0346),IF(AND(G8=47,G5=3),LOOKUP(G6,Age,Term0347),IF(AND(G8=48,G5=3),LOOKUP(G6,Age,Term0348),IF(AND(G8=49,G5=3),LOOKUP(G6,Age,Term0349),IF(AND(G8=50,G5=3),LOOKUP(G6,Age,Term0350),IF(AND(G8=51,G5=3),LOOKUP(G6,Age,Term0351),I271)))))))</f>
        <v>0</v>
      </c>
      <c r="I271" s="11" t="str">
        <f>IF(AND(G8=52,G5=3),LOOKUP(G6,Age,Term0352),IF(AND(G8=53,G5=3),LOOKUP(G6,Age,Term0353),IF(AND(G8=54,G5=3),LOOKUP(G6,Age,Term0354),IF(AND(G8=55,G5=3),LOOKUP(G6,Age,Term0355),"0"))))</f>
        <v>0</v>
      </c>
      <c r="K271" s="23"/>
      <c r="Q271" s="12"/>
      <c r="R271" s="12"/>
      <c r="S271" s="12"/>
      <c r="T271" s="12"/>
      <c r="U271" s="12"/>
      <c r="V271" s="12"/>
      <c r="W271" s="12"/>
      <c r="X271" s="12"/>
    </row>
    <row r="272" spans="1:26" hidden="1" x14ac:dyDescent="0.15">
      <c r="A272" s="22"/>
      <c r="K272" s="23"/>
      <c r="Q272" s="12"/>
      <c r="R272" s="12"/>
      <c r="S272" s="12"/>
      <c r="T272" s="12"/>
      <c r="U272" s="12"/>
      <c r="V272" s="12"/>
      <c r="W272" s="12"/>
      <c r="X272" s="12"/>
    </row>
    <row r="273" spans="1:24" hidden="1" x14ac:dyDescent="0.15">
      <c r="A273" s="22" t="s">
        <v>210</v>
      </c>
      <c r="C273" s="11" t="str">
        <f>IF(AND(G8=18,G5=5),LOOKUP(G6,Age,Term0518),IF(AND(G8=21,G5=5),LOOKUP(G6,Age,Term0521),IF(AND(G8=24,G5=5),LOOKUP(G6,Age,Term0524),IF(AND(G8=27,G5=5),LOOKUP(G6,Age,Term0527),IF(AND(G8=30,G5=5),LOOKUP(G6,Age,Term0530),"0")))))</f>
        <v>0</v>
      </c>
      <c r="K273" s="23"/>
      <c r="Q273" s="12"/>
      <c r="R273" s="12"/>
      <c r="S273" s="12"/>
      <c r="T273" s="12"/>
      <c r="U273" s="12"/>
      <c r="V273" s="12"/>
      <c r="W273" s="12"/>
      <c r="X273" s="12"/>
    </row>
    <row r="274" spans="1:24" hidden="1" x14ac:dyDescent="0.15">
      <c r="A274" s="22"/>
      <c r="K274" s="23"/>
      <c r="Q274" s="12"/>
      <c r="R274" s="12"/>
      <c r="S274" s="12"/>
      <c r="T274" s="12"/>
      <c r="U274" s="12"/>
      <c r="V274" s="12"/>
      <c r="W274" s="12"/>
      <c r="X274" s="12"/>
    </row>
    <row r="275" spans="1:24" hidden="1" x14ac:dyDescent="0.15">
      <c r="A275" s="22" t="s">
        <v>212</v>
      </c>
      <c r="C275" s="11" t="str">
        <f>IF(AND(G8=10,G5=7,G7&gt;=8,G7&lt;=15),LOOKUP(G6,Age,Term0710),IF(AND(G8=11,G5=7,G7&gt;=7,G7&lt;=14),LOOKUP(G6,Age,Term0711),IF(AND(G8=12,G5=7,G7&gt;=6,G7&lt;=13),LOOKUP(G6,Age,Term0712),IF(AND(G8=13,G5=7,G7&gt;=5,G7&lt;=12),LOOKUP(G6,Age,Term0713),IF(AND(G8=14,G5=7,G7&gt;=4,G7&lt;=11),LOOKUP(G6,Age,Term0714),IF(AND(G8=15,G5=7,G7&gt;=3,G7&lt;=10),LOOKUP(G6,Age,Term0715),IF(AND(G8=16,G5=7,G7&gt;=2,G7&lt;=9),LOOKUP(G6,Age,Term0716),D275)))))))</f>
        <v>0</v>
      </c>
      <c r="D275" s="11" t="str">
        <f>IF(AND(G8=17,G5=7,G7&gt;=1,G7&lt;=8),LOOKUP(G6,Age,Term0717),IF(AND(G8=18,G5=7,G7&gt;=1,G7&lt;=7),LOOKUP(G6,Age,Term0718),IF(AND(G8=19,G5=7,G7&gt;=1,G7&lt;=6),LOOKUP(G6,Age,Term0719),IF(AND(G8=20,G5=7,G7&gt;=1,G7&lt;=5),LOOKUP(G6,Age,Term0720),IF(AND(G8=21,G5=7,G7&gt;=1,G7&lt;=4),LOOKUP(G6,Age,Term0721),IF(AND(G8=22,G5=7,G7&gt;=1,G7&lt;=3),LOOKUP(G6,Age,Term0722),IF(AND(G8=23,G5=7,G7&gt;=1,G7&lt;=2),LOOKUP(G6,Age,Term0723),E275)))))))</f>
        <v>0</v>
      </c>
      <c r="E275" s="11" t="str">
        <f>IF(AND(G8=24,G5=7,G7=1),LOOKUP(G6,Age,Term0724),"0")</f>
        <v>0</v>
      </c>
      <c r="K275" s="23"/>
      <c r="Q275" s="12"/>
      <c r="R275" s="12"/>
      <c r="S275" s="12"/>
      <c r="T275" s="12"/>
      <c r="U275" s="12"/>
      <c r="V275" s="12"/>
      <c r="W275" s="12"/>
      <c r="X275" s="12"/>
    </row>
    <row r="276" spans="1:24" hidden="1" x14ac:dyDescent="0.15">
      <c r="A276" s="22"/>
      <c r="K276" s="23"/>
      <c r="Q276" s="12"/>
      <c r="R276" s="12"/>
      <c r="S276" s="12"/>
      <c r="T276" s="12"/>
      <c r="U276" s="12"/>
      <c r="V276" s="12"/>
      <c r="W276" s="12"/>
      <c r="X276" s="12"/>
    </row>
    <row r="277" spans="1:24" hidden="1" x14ac:dyDescent="0.15">
      <c r="A277" s="22" t="s">
        <v>213</v>
      </c>
      <c r="C277" s="11" t="str">
        <f>IF(AND(G8=10,G5=19),LOOKUP(E202,Age,Term1910),IF(AND(G8=15,G5=19),LOOKUP(E202,Age,Term1915),IF(AND(G8=20,G5=19),LOOKUP(E202,Age,Term1920),IF(AND(G8=25,G5=19),LOOKUP(E202,Age,Term1925),IF(AND(G8=30,G5=19),LOOKUP(E202,Age,Term1930),IF(AND(G8=35,G5=19),LOOKUP(E202,Age,Term1935),"0"))))))</f>
        <v>0</v>
      </c>
      <c r="K277" s="23"/>
      <c r="Q277" s="12"/>
      <c r="R277" s="12"/>
      <c r="S277" s="12"/>
      <c r="T277" s="12"/>
      <c r="U277" s="12"/>
      <c r="V277" s="12"/>
      <c r="W277" s="12"/>
      <c r="X277" s="12"/>
    </row>
    <row r="278" spans="1:24" hidden="1" x14ac:dyDescent="0.15">
      <c r="A278" s="22"/>
      <c r="K278" s="23"/>
      <c r="Q278" s="12"/>
      <c r="R278" s="12"/>
      <c r="S278" s="12"/>
      <c r="T278" s="12"/>
      <c r="U278" s="12"/>
      <c r="V278" s="12"/>
      <c r="W278" s="12"/>
      <c r="X278" s="12"/>
    </row>
    <row r="279" spans="1:24" hidden="1" x14ac:dyDescent="0.15">
      <c r="A279" s="22" t="s">
        <v>214</v>
      </c>
      <c r="C279" s="11" t="str">
        <f>IF(AND(G8=10,G5=36),LOOKUP(G6,Age,Term3610),IF(AND(G8=15,G5=36),LOOKUP(G6,Age,Term3615),IF(AND(G8=20,G5=36),LOOKUP(G6,Age,Term3620),IF(AND(G8=25,G5=36),LOOKUP(G6,Age,Term3625),"0"))))</f>
        <v>0</v>
      </c>
      <c r="K279" s="23"/>
      <c r="Q279" s="12"/>
      <c r="R279" s="12"/>
      <c r="S279" s="12"/>
      <c r="T279" s="12"/>
      <c r="U279" s="12"/>
      <c r="V279" s="12"/>
      <c r="W279" s="12"/>
      <c r="X279" s="12"/>
    </row>
    <row r="280" spans="1:24" hidden="1" x14ac:dyDescent="0.15">
      <c r="A280" s="22"/>
      <c r="K280" s="23"/>
      <c r="Q280" s="12"/>
      <c r="R280" s="12"/>
      <c r="S280" s="12"/>
      <c r="T280" s="12"/>
      <c r="U280" s="12"/>
      <c r="V280" s="12"/>
      <c r="W280" s="12"/>
      <c r="X280" s="12"/>
    </row>
    <row r="281" spans="1:24" hidden="1" x14ac:dyDescent="0.15">
      <c r="A281" s="22" t="s">
        <v>215</v>
      </c>
      <c r="C281" s="11" t="str">
        <f>IF(AND(G8=10,G5=75,OR(G7=8,G7=11,G7=15)),LOOKUP(G6,Age,Term7510),IF(AND(G8=11,G5=75,OR(G7=7,G7=10,G7=14)),LOOKUP(G6,Age,Term7511),IF(AND(G8=12,G5=75,OR(G7=6,G7=9,G7=13)),LOOKUP(G6,Age,Term7512),IF(AND(G8=13,G5=75,OR(G7=5,G7=8,G7=12)),LOOKUP(G6,Age,Term7513),IF(AND(G8=14,G5=75,OR(G7=4,G7=7,G7=11)),LOOKUP(G6,Age,Term7514),IF(AND(G8=15,G5=75,OR(G7=3,G7=6,G7=10)),LOOKUP(G6,Age,Term7515),D281))))))</f>
        <v>0</v>
      </c>
      <c r="D281" s="11" t="str">
        <f>IF(AND(G8=16,G5=75,OR(G7=2,G7=5,G7=9)),LOOKUP(G6,Age,Term7516),IF(AND(G8=17,G5=75,OR(G7=1,G7=4,G7=8)),LOOKUP(G6,Age,Term7517),IF(AND(G8=18,G5=75,OR(G7=3,G7=7)),LOOKUP(G6,Age,Term7518),IF(AND(G8=19,G5=75,OR(G7=2,G7=6)),LOOKUP(G6,Age,Term7519),IF(AND(G8=20,G5=75,OR(G7=1,G7=5)),LOOKUP(G6,Age,Term7520),E281)))))</f>
        <v>0</v>
      </c>
      <c r="E281" s="11" t="str">
        <f>IF(AND(G8=21,G5=75,G7=4),LOOKUP(G6,Age,Term7521),IF(AND(G8=22,G5=75,G7=3),LOOKUP(G6,Age,Term7522),IF(AND(G8=23,G5=75,G7=2),LOOKUP(G6,Age,Term7523),IF(AND(G8=24,G5=75,G7=1),LOOKUP(G6,Age,Term7524),"0"))))</f>
        <v>0</v>
      </c>
      <c r="K281" s="23"/>
      <c r="Q281" s="12"/>
      <c r="R281" s="12"/>
      <c r="S281" s="12"/>
      <c r="T281" s="12"/>
      <c r="U281" s="12"/>
      <c r="V281" s="12"/>
      <c r="W281" s="12"/>
      <c r="X281" s="12"/>
    </row>
    <row r="282" spans="1:24" hidden="1" x14ac:dyDescent="0.15">
      <c r="A282" s="22"/>
      <c r="K282" s="23"/>
      <c r="Q282" s="12"/>
      <c r="R282" s="12"/>
      <c r="S282" s="12"/>
      <c r="T282" s="12"/>
      <c r="U282" s="12"/>
      <c r="V282" s="12"/>
      <c r="W282" s="12"/>
      <c r="X282" s="12"/>
    </row>
    <row r="283" spans="1:24" hidden="1" x14ac:dyDescent="0.15">
      <c r="A283" s="22" t="s">
        <v>216</v>
      </c>
      <c r="C283" s="11" t="str">
        <f>IF(AND(G8=10,G5=76),LOOKUP(G6,Age,Term7610),IF(AND(G8=11,G5=76),LOOKUP(G6,Age,Term7611),IF(AND(G8=12,G5=76),LOOKUP(G6,Age,Term7612),IF(AND(G8=13,G5=76),LOOKUP(G6,Age,Term7613),IF(AND(G8=14,G5=76),LOOKUP(G6,Age,Term7614),IF(AND(G8=15,G5=76),LOOKUP(G6,Age,Term7615),IF(AND(G8=16,G5=76),LOOKUP(G6,Age,Term7616),D283)))))))</f>
        <v>0</v>
      </c>
      <c r="D283" s="11" t="str">
        <f>IF(AND(G8=17,G5=76),LOOKUP(G6,Age,Term7617),IF(AND(G8=18,G5=76),LOOKUP(G6,Age,Term7618),IF(AND(G8=19,G5=76),LOOKUP(G6,Age,Term7619),IF(AND(G8=20,G5=76),LOOKUP(G6,Age,Term7620),IF(AND(G8=21,G5=76),LOOKUP(G6,Age,Term7621),IF(AND(G8=22,G5=76),LOOKUP(G6,Age,Term7622),IF(AND(G8=23,G5=76),LOOKUP(G6,Age,Term7623),E283)))))))</f>
        <v>0</v>
      </c>
      <c r="E283" s="11" t="str">
        <f>IF(AND(G8=24,G5=76),LOOKUP(G6,Age,Term7624),"0")</f>
        <v>0</v>
      </c>
      <c r="K283" s="23"/>
      <c r="Q283" s="12"/>
      <c r="R283" s="12"/>
      <c r="S283" s="12"/>
      <c r="T283" s="12"/>
      <c r="U283" s="12"/>
      <c r="V283" s="12"/>
      <c r="W283" s="12"/>
      <c r="X283" s="12"/>
    </row>
    <row r="284" spans="1:24" hidden="1" x14ac:dyDescent="0.15">
      <c r="A284" s="22"/>
      <c r="K284" s="23"/>
      <c r="Q284" s="12"/>
      <c r="R284" s="12"/>
      <c r="S284" s="12"/>
      <c r="T284" s="12"/>
      <c r="U284" s="12"/>
      <c r="V284" s="12"/>
      <c r="W284" s="12"/>
      <c r="X284" s="12"/>
    </row>
    <row r="285" spans="1:24" hidden="1" x14ac:dyDescent="0.15">
      <c r="A285" s="22" t="s">
        <v>217</v>
      </c>
      <c r="C285" s="11" t="str">
        <f>IF(AND(G8=15,G5=78),LOOKUP(G6,Age,Term7815),IF(AND(G8=16,G5=78),LOOKUP(G6,Age,Term7816),IF(AND(G8=17,G5=78),LOOKUP(G6,Age,Term7817),IF(AND(G8=18,G5=78),LOOKUP(G6,Age,Term7818),IF(AND(G8=19,G5=78),LOOKUP(G6,Age,Term7819),IF(AND(G8=20,G5=78),LOOKUP(G6,Age,Term7820),IF(AND(G8=21,G5=78),LOOKUP(G6,Age,Term7821),D285)))))))</f>
        <v>0</v>
      </c>
      <c r="D285" s="11" t="str">
        <f>IF(AND(G8=22,G5=78),LOOKUP(G6,Age,Term7822),IF(AND(G8=23,G5=78),LOOKUP(G6,Age,Term7823),IF(AND(G8=24,G5=78),LOOKUP(G6,Age,Term7824),"0")))</f>
        <v>0</v>
      </c>
      <c r="K285" s="23"/>
      <c r="Q285" s="12"/>
      <c r="R285" s="12"/>
      <c r="S285" s="12"/>
      <c r="T285" s="12"/>
      <c r="U285" s="12"/>
      <c r="V285" s="12"/>
      <c r="W285" s="12"/>
      <c r="X285" s="12"/>
    </row>
    <row r="286" spans="1:24" hidden="1" x14ac:dyDescent="0.15">
      <c r="A286" s="22"/>
      <c r="K286" s="23"/>
      <c r="Q286" s="12"/>
      <c r="R286" s="12"/>
      <c r="S286" s="12"/>
      <c r="T286" s="12"/>
      <c r="U286" s="12"/>
      <c r="V286" s="12"/>
      <c r="W286" s="12"/>
      <c r="X286" s="12"/>
    </row>
    <row r="287" spans="1:24" hidden="1" x14ac:dyDescent="0.15">
      <c r="A287" s="22" t="s">
        <v>218</v>
      </c>
      <c r="C287" s="11" t="str">
        <f>IF(AND(G8=10,G5=3,G16="y"),LOOKUP(G6,Age,_ND10),IF(AND(G8=15,G5=3,G16="y"),LOOKUP(G6,Age,_ND15),IF(AND(G8=20,G5=3,G16="y"),LOOKUP(G6,Age,_ND20),IF(AND(G8=18,G5=5,G16="y"),LOOKUP(G6,Age,_ND18),IF(AND(G8=21,G5=5,G16="y"),LOOKUP(G6,Age,_ND21),"0")))))</f>
        <v>0</v>
      </c>
      <c r="K287" s="23"/>
      <c r="Q287" s="12"/>
      <c r="R287" s="12"/>
      <c r="S287" s="12"/>
      <c r="T287" s="12"/>
      <c r="U287" s="12"/>
      <c r="V287" s="12"/>
      <c r="W287" s="12"/>
      <c r="X287" s="12"/>
    </row>
    <row r="288" spans="1:24" hidden="1" x14ac:dyDescent="0.15">
      <c r="A288" s="22"/>
      <c r="K288" s="23"/>
      <c r="Q288" s="12"/>
      <c r="R288" s="12"/>
      <c r="S288" s="12"/>
      <c r="T288" s="12"/>
      <c r="U288" s="12"/>
      <c r="V288" s="12"/>
      <c r="W288" s="12"/>
      <c r="X288" s="12"/>
    </row>
    <row r="289" spans="1:26" hidden="1" x14ac:dyDescent="0.15">
      <c r="A289" s="22" t="s">
        <v>219</v>
      </c>
      <c r="C289" s="11" t="str">
        <f>IF(AND(F10=10,G10="Y"),LOOKUP(G6,Age,_FIB10),IF(AND(F10=11,G10="Y"),LOOKUP(G6,Age,_FIB11),IF(AND(F10=12,G10="Y"),LOOKUP(G6,Age,_FIB12),IF(AND(F10=13,G10="Y"),LOOKUP(G6,Age,_FIB13),IF(AND(F10=14,G10="Y"),LOOKUP(G6,Age,_FIB14),IF(AND(F10=15,G10="Y"),LOOKUP(G6,Age,_FIB15),IF(AND(F10=16,G10="Y"),LOOKUP(G6,Age,_FIB16),D289)))))))</f>
        <v>0</v>
      </c>
      <c r="D289" s="11" t="str">
        <f>IF(AND(F10=17,G10="Y"),LOOKUP(G6,Age,_FIB17),IF(AND(F10=18,G10="Y"),LOOKUP(G6,Age,_FIB18),IF(AND(F10=19,G10="Y"),LOOKUP(G6,Age,_FIB19),IF(AND(F10=20,G10="Y"),LOOKUP(G6,Age,_FIB20),IF(AND(F10=21,G10="Y"),LOOKUP(G6,Age,_FIB21),IF(AND(F10=22,G10="Y"),LOOKUP(G6,Age,_FIB22),IF(AND(F10=23,G10="Y"),LOOKUP(G6,Age,_FIB23),E289)))))))</f>
        <v>0</v>
      </c>
      <c r="E289" s="11" t="str">
        <f>IF(AND(F10=24,G10="Y"),LOOKUP(G6,Age,_FIB24),IF(AND(F10=25,G10="Y"),LOOKUP(G6,Age,_FIB25),IF(AND(F10=26,G10="Y"),LOOKUP(G6,Age,_FIB26),IF(AND(F10=27,G10="Y"),LOOKUP(G6,Age,_FIB27),IF(AND(F10=28,G10="Y"),LOOKUP(G6,Age,_FIB28),IF(AND(F10=29,G10="Y"),LOOKUP(G6,Age,_FIB29),IF(AND(F10=30,G10="Y"),LOOKUP(G6,Age,_FIB30),F289)))))))</f>
        <v>0</v>
      </c>
      <c r="F289" s="11" t="str">
        <f>IF(AND(F10=31,G10="Y"),LOOKUP(G6,Age,_FIB31),IF(AND(F10=32,G10="Y"),LOOKUP(G6,Age,_FIB32),IF(AND(F10=33,G10="Y"),LOOKUP(G6,Age,_FIB33),IF(AND(F10=34,G10="Y"),LOOKUP(G6,Age,_FIB34),IF(AND(F10=35,G10="Y"),LOOKUP(G6,Age,_FIB35),IF(AND(F10=36,G10="Y"),LOOKUP(G6,Age,_FIB36),IF(AND(F10=37,G10="Y"),LOOKUP(G6,Age,_FIB37),G289)))))))</f>
        <v>0</v>
      </c>
      <c r="G289" s="11" t="str">
        <f>IF(AND(F10=38,G10="Y"),LOOKUP(G6,Age,_FIB38),IF(AND(F10=39,G10="Y"),LOOKUP(G6,Age,_FIB39),IF(AND(F10=40,G10="Y"),LOOKUP(G6,Age,_FIB40),IF(AND(F10=41,G10="Y"),LOOKUP(G6,Age,_FIB41),IF(AND(F10=42,G10="Y"),LOOKUP(G6,Age,_FIB42),IF(AND(F10=43,G10="Y"),LOOKUP(G6,Age,_FIB43),IF(AND(F10=44,G10="Y"),LOOKUP(G6,Age,_FIB44),H289)))))))</f>
        <v>0</v>
      </c>
      <c r="H289" s="11" t="str">
        <f>IF(AND(F10=45,G10="Y"),LOOKUP(G6,Age,_FIB45),"0")</f>
        <v>0</v>
      </c>
      <c r="K289" s="23"/>
      <c r="Q289" s="12"/>
      <c r="R289" s="12"/>
      <c r="S289" s="12"/>
      <c r="T289" s="12"/>
      <c r="U289" s="12"/>
      <c r="V289" s="12"/>
      <c r="W289" s="12"/>
      <c r="X289" s="12"/>
    </row>
    <row r="290" spans="1:26" hidden="1" x14ac:dyDescent="0.15">
      <c r="A290" s="22"/>
      <c r="K290" s="23"/>
      <c r="Q290" s="12"/>
      <c r="R290" s="12"/>
      <c r="S290" s="12"/>
      <c r="T290" s="12"/>
      <c r="U290" s="12"/>
      <c r="V290" s="12"/>
      <c r="W290" s="12"/>
      <c r="X290" s="12"/>
    </row>
    <row r="291" spans="1:26" hidden="1" x14ac:dyDescent="0.15">
      <c r="A291" s="22" t="s">
        <v>220</v>
      </c>
      <c r="C291" s="11" t="str">
        <f>IF(AND(F11=10,G11="Y"),LOOKUP(G6,Age,_TIR10),IF(AND(F11=11,G11="Y"),LOOKUP(G6,Age,_TIR11),IF(AND(F11=12,G11="Y"),LOOKUP(G6,Age,_TIR12),IF(AND(F11=13,G11="Y"),LOOKUP(G6,Age,_TIR13),IF(AND(F11=14,G11="Y"),LOOKUP(G6,Age,_TIR14),IF(AND(F11=15,G11="Y"),LOOKUP(G6,Age,_TIR15),IF(AND(F11=16,G11="Y"),LOOKUP(G6,Age,_TIR16),D291)))))))</f>
        <v>0</v>
      </c>
      <c r="D291" s="11" t="str">
        <f>IF(AND(F11=17,G11="Y"),LOOKUP(G6,Age,_TIR17),IF(AND(F11=18,G11="Y"),LOOKUP(G6,Age,_TIR18),IF(AND(F11=19,G11="Y"),LOOKUP(G6,Age,_TIR19),IF(AND(F11=20,G11="Y"),LOOKUP(G6,Age,_TIR20),IF(AND(F11=21,G11="Y"),LOOKUP(G6,Age,_TIR21),IF(AND(F11=22,G11="Y"),LOOKUP(G6,Age,_TIR22),IF(AND(F11=23,G11="Y"),LOOKUP(G6,Age,_TIR23),E291)))))))</f>
        <v>0</v>
      </c>
      <c r="E291" s="11" t="str">
        <f>IF(AND(F11=24,G11="Y"),LOOKUP(G6,Age,_TIR24),IF(AND(F11=25,G11="Y"),LOOKUP(G6,Age,_TIR25),"0"))</f>
        <v>0</v>
      </c>
      <c r="K291" s="23"/>
      <c r="Q291" s="12"/>
      <c r="R291" s="12"/>
      <c r="S291" s="12"/>
      <c r="T291" s="12"/>
      <c r="U291" s="12"/>
      <c r="V291" s="12"/>
      <c r="W291" s="12"/>
      <c r="X291" s="12"/>
    </row>
    <row r="292" spans="1:26" hidden="1" x14ac:dyDescent="0.15">
      <c r="A292" s="22"/>
      <c r="K292" s="23"/>
      <c r="Q292" s="12"/>
      <c r="R292" s="12"/>
      <c r="S292" s="12"/>
      <c r="T292" s="12"/>
      <c r="U292" s="12"/>
      <c r="V292" s="12"/>
      <c r="W292" s="12"/>
      <c r="X292" s="12"/>
    </row>
    <row r="293" spans="1:26" hidden="1" x14ac:dyDescent="0.15">
      <c r="A293" s="22" t="s">
        <v>221</v>
      </c>
      <c r="C293" s="11" t="str">
        <f>IF(AND(F12=10,G12="Y"),LOOKUP(G6,Age,SWP10_),IF(AND(F12=11,G12="Y"),LOOKUP(G6,Age,SWP11_),IF(AND(F12=12,G12="Y"),LOOKUP(G6,Age,SWP12_),IF(AND(F12=13,G12="Y"),LOOKUP(G6,Age,SWP13_),IF(AND(F12=14,G12="Y"),LOOKUP(G6,Age,SWP14_),IF(AND(F12=15,G12="Y"),LOOKUP(G6,Age,SWP15_),IF(AND(F12=16,G12="Y"),LOOKUP(G6,Age,SWP16_),D293)))))))</f>
        <v>0</v>
      </c>
      <c r="D293" s="11" t="str">
        <f>IF(AND(F12=17,G12="Y"),LOOKUP(G6,Age,SWP17_),IF(AND(F12=18,G12="Y"),LOOKUP(G6,Age,SWP18_),IF(AND(F12=19,G12="Y"),LOOKUP(G6,Age,SWP19_),IF(AND(F12=20,G12="Y"),LOOKUP(G6,Age,SWP20_),IF(AND(F12=21,G12="Y"),LOOKUP(G6,Age,SWP21_),IF(AND(F12=22,G12="Y"),LOOKUP(G6,Age,SWP22_),IF(AND(F12=23,G12="Y"),LOOKUP(G6,Age,SWP23_),E293)))))))</f>
        <v>0</v>
      </c>
      <c r="E293" s="11" t="str">
        <f>IF(AND(F12=24,G12="Y"),LOOKUP(G6,Age,SWP24_),IF(AND(F12=25,G12="Y"),LOOKUP(G6,Age,SWP25_),IF(AND(F12=26,G12="Y"),LOOKUP(G6,Age,SWP26_),IF(AND(F12=27,G12="Y"),LOOKUP(G6,Age,SWP27_),IF(AND(F12=28,G12="Y"),LOOKUP(G6,Age,SWP28_),IF(AND(F12=29,G12="Y"),LOOKUP(G6,Age,SWP29_),IF(AND(F12=30,G12="Y"),LOOKUP(G6,Age,SWP30_),F293)))))))</f>
        <v>0</v>
      </c>
      <c r="F293" s="11" t="str">
        <f>IF(AND(F12=31,G12="Y"),LOOKUP(G6,Age,SWP31_),IF(AND(F12=32,G12="Y"),LOOKUP(G6,Age,SWP32_),IF(AND(F12=33,G12="Y"),LOOKUP(G6,Age,SWP33_),IF(AND(F12=34,G12="Y"),LOOKUP(G6,Age,SWP34_),IF(AND(F12=35,G12="Y"),LOOKUP(G6,Age,SWP35_),IF(AND(F12=36,G12="Y"),LOOKUP(G6,Age,SWP36_),IF(AND(F12=37,G12="Y"),LOOKUP(G6,Age,SWP37_),G293)))))))</f>
        <v>0</v>
      </c>
      <c r="G293" s="11" t="str">
        <f>IF(AND(F12=38,G12="Y"),LOOKUP(G6,Age,SWP38_),IF(AND(F12=39,G12="Y"),LOOKUP(G6,Age,SWP39_),IF(AND(F12=40,G12="Y"),LOOKUP(G6,Age,SWP40_),"0")))</f>
        <v>0</v>
      </c>
      <c r="K293" s="23"/>
      <c r="Q293" s="12"/>
      <c r="R293" s="12"/>
      <c r="S293" s="12"/>
      <c r="T293" s="12"/>
      <c r="U293" s="12"/>
      <c r="V293" s="12"/>
      <c r="W293" s="12"/>
      <c r="X293" s="12"/>
    </row>
    <row r="294" spans="1:26" hidden="1" x14ac:dyDescent="0.15">
      <c r="A294" s="22"/>
      <c r="K294" s="23"/>
      <c r="Q294" s="12"/>
      <c r="R294" s="12"/>
      <c r="S294" s="12"/>
      <c r="T294" s="12"/>
      <c r="U294" s="12"/>
      <c r="V294" s="12"/>
      <c r="W294" s="12"/>
      <c r="X294" s="12"/>
    </row>
    <row r="295" spans="1:26" hidden="1" x14ac:dyDescent="0.15">
      <c r="A295" s="22" t="s">
        <v>222</v>
      </c>
      <c r="C295" s="11" t="str">
        <f>IF(AND(F17=10,G17="Y"),LOOKUP(G6,Age,_RPR10),IF(AND(F17=11,G17="Y"),LOOKUP(G6,Age,_RPR11),IF(AND(F17=12,G17="Y"),LOOKUP(G6,Age,_RPR12),IF(AND(F17=13,G17="Y"),LOOKUP(G6,Age,_RPR13),IF(AND(F17=14,G17="Y"),LOOKUP(G6,Age,_RPR14),IF(AND(F17=15,G17="Y"),LOOKUP(G6,Age,_RPR15),IF(AND(F17=16,G17="Y"),LOOKUP(G6,Age,_RPR16),D295)))))))</f>
        <v>0</v>
      </c>
      <c r="D295" s="11" t="str">
        <f>IF(AND(F17=17,G17="Y"),LOOKUP(G6,Age,_RPR17),IF(AND(F17=18,G17="Y"),LOOKUP(G6,Age,_RPR18),IF(AND(F17=19,G17="Y"),LOOKUP(G6,Age,_RPR19),IF(AND(F17=20,G17="Y"),LOOKUP(G6,Age,_RPR20),IF(AND(F17=21,G17="Y"),LOOKUP(G6,Age,_RPR21),IF(AND(F17=22,G17="Y"),LOOKUP(G6,Age,_RPR22),IF(AND(F17=23,G17="Y"),LOOKUP(G6,Age,_RPR23),E295)))))))</f>
        <v>0</v>
      </c>
      <c r="E295" s="11" t="str">
        <f>IF(AND(F17=24,G17="Y"),LOOKUP(G6,Age,_RPR24),IF(AND(F17=25,G17="Y"),LOOKUP(G6,Age,_RPR25),"0"))</f>
        <v>0</v>
      </c>
      <c r="K295" s="23"/>
      <c r="Q295" s="12"/>
      <c r="R295" s="12"/>
      <c r="S295" s="12"/>
      <c r="T295" s="12"/>
      <c r="U295" s="12"/>
      <c r="V295" s="12"/>
      <c r="W295" s="12"/>
      <c r="X295" s="12"/>
    </row>
    <row r="296" spans="1:26" hidden="1" x14ac:dyDescent="0.15">
      <c r="A296" s="22"/>
      <c r="K296" s="23"/>
      <c r="S296" s="12"/>
      <c r="T296" s="12"/>
      <c r="U296" s="12"/>
      <c r="V296" s="12"/>
      <c r="W296" s="12"/>
      <c r="X296" s="12"/>
      <c r="Y296" s="12"/>
      <c r="Z296" s="12"/>
    </row>
    <row r="297" spans="1:26" hidden="1" x14ac:dyDescent="0.15">
      <c r="A297" s="22" t="s">
        <v>488</v>
      </c>
      <c r="C297" s="11" t="str">
        <f>IF(AND(G8=10,G5=2),LOOKUP(G6,Age,Term0210),IF(AND(G8=15,G5=2),LOOKUP(G6,Age,Term0215),IF(AND(G8=20,G5=2),LOOKUP(G6,Age,Term0215),IF(AND(G8=25,G5=2),LOOKUP(G6,Age,Term0225),IF(AND(G8=30,G5=2),LOOKUP(G6,Age,Term0230),IF(AND(G8=70,G5=2),LOOKUP(G6,Age,Term0270),"0"))))))</f>
        <v>0</v>
      </c>
      <c r="K297" s="23"/>
      <c r="S297" s="12"/>
      <c r="T297" s="12"/>
      <c r="U297" s="12"/>
      <c r="V297" s="12"/>
      <c r="W297" s="12"/>
      <c r="X297" s="12"/>
      <c r="Y297" s="12"/>
      <c r="Z297" s="12"/>
    </row>
    <row r="298" spans="1:26" hidden="1" x14ac:dyDescent="0.15">
      <c r="A298" s="22"/>
      <c r="K298" s="23"/>
      <c r="S298" s="12"/>
      <c r="T298" s="12"/>
      <c r="U298" s="12"/>
      <c r="V298" s="12"/>
      <c r="W298" s="12"/>
      <c r="X298" s="12"/>
      <c r="Y298" s="12"/>
      <c r="Z298" s="12"/>
    </row>
    <row r="299" spans="1:26" hidden="1" x14ac:dyDescent="0.15">
      <c r="A299" s="22" t="s">
        <v>489</v>
      </c>
      <c r="C299" s="11" t="str">
        <f>IF(G5=4,LOOKUP(G6,Age,Term0470),"0")</f>
        <v>0</v>
      </c>
      <c r="K299" s="23"/>
      <c r="S299" s="12"/>
      <c r="T299" s="12"/>
      <c r="U299" s="12"/>
      <c r="V299" s="12"/>
      <c r="W299" s="12"/>
      <c r="X299" s="12"/>
      <c r="Y299" s="12"/>
      <c r="Z299" s="12"/>
    </row>
    <row r="300" spans="1:26" hidden="1" x14ac:dyDescent="0.15">
      <c r="A300" s="22"/>
      <c r="K300" s="23"/>
      <c r="S300" s="12"/>
      <c r="T300" s="12"/>
      <c r="U300" s="12"/>
      <c r="V300" s="12"/>
      <c r="W300" s="12"/>
      <c r="X300" s="12"/>
      <c r="Y300" s="12"/>
      <c r="Z300" s="12"/>
    </row>
    <row r="301" spans="1:26" hidden="1" x14ac:dyDescent="0.15">
      <c r="A301" s="22" t="s">
        <v>490</v>
      </c>
      <c r="C301" s="11" t="str">
        <f>IF(AND(G8=10,G5=6),LOOKUP(E202,Age,Term0610),IF(AND(G8=15,G5=6),LOOKUP(E202,Age,Term0615),IF(AND(G8=20,G5=6),LOOKUP(E202,Age,Term0620),IF(AND(G8=25,G5=6),LOOKUP(E202,Age,Term0625),IF(AND(G8=30,G5=6),LOOKUP(E202,Age,Term0630),IF(AND(G8=35,G5=6),LOOKUP(E202,Age,Term0635),"0"))))))</f>
        <v>0</v>
      </c>
      <c r="K301" s="23"/>
      <c r="S301" s="12"/>
      <c r="T301" s="12"/>
      <c r="U301" s="12"/>
      <c r="V301" s="12"/>
      <c r="W301" s="12"/>
      <c r="X301" s="12"/>
      <c r="Y301" s="12"/>
      <c r="Z301" s="12"/>
    </row>
    <row r="302" spans="1:26" hidden="1" x14ac:dyDescent="0.15">
      <c r="A302" s="22"/>
      <c r="K302" s="23"/>
      <c r="S302" s="12"/>
      <c r="T302" s="12"/>
      <c r="U302" s="12"/>
      <c r="V302" s="12"/>
      <c r="W302" s="12"/>
      <c r="X302" s="12"/>
      <c r="Y302" s="12"/>
      <c r="Z302" s="12"/>
    </row>
    <row r="303" spans="1:26" hidden="1" x14ac:dyDescent="0.15">
      <c r="A303" s="22" t="s">
        <v>491</v>
      </c>
      <c r="C303" s="11" t="str">
        <f>IF(AND(G8=10,G5=9),LOOKUP(G6,Age,Term0910),IF(AND(G8=15,G5=9),LOOKUP(G6,Age,Term0915),IF(AND(G8=20,G5=9),LOOKUP(G6,Age,Term0920),IF(AND(G8=25,G5=9),LOOKUP(G6,Age,Term0925),IF(AND(G8=30,G5=9),LOOKUP(G6,Age,Term0930),IF(AND(G8=40,G5=9),LOOKUP(G6,Age,Term0940),IF(AND(G8=50,G5=9),LOOKUP(G6,Age,Term0950),"0")))))))</f>
        <v>0</v>
      </c>
      <c r="K303" s="23"/>
      <c r="S303" s="12"/>
      <c r="T303" s="12"/>
      <c r="U303" s="12"/>
      <c r="V303" s="12"/>
      <c r="W303" s="12"/>
      <c r="X303" s="12"/>
      <c r="Y303" s="12"/>
      <c r="Z303" s="12"/>
    </row>
    <row r="304" spans="1:26" hidden="1" x14ac:dyDescent="0.15">
      <c r="A304" s="22"/>
      <c r="K304" s="23"/>
      <c r="S304" s="12"/>
      <c r="T304" s="12"/>
      <c r="U304" s="12"/>
      <c r="V304" s="12"/>
      <c r="W304" s="12"/>
      <c r="X304" s="12"/>
      <c r="Y304" s="12"/>
      <c r="Z304" s="12"/>
    </row>
    <row r="305" spans="1:26" hidden="1" x14ac:dyDescent="0.15">
      <c r="A305" s="22" t="s">
        <v>493</v>
      </c>
      <c r="C305" s="11" t="str">
        <f>IF(AND(G8=18,G5=12),LOOKUP(G6,Age,Term1218),IF(AND(G8=21,G5=12),LOOKUP(G6,Age,Term1221),"0"))</f>
        <v>0</v>
      </c>
      <c r="K305" s="23"/>
      <c r="S305" s="12"/>
      <c r="T305" s="12"/>
      <c r="U305" s="12"/>
      <c r="V305" s="12"/>
      <c r="W305" s="12"/>
      <c r="X305" s="12"/>
      <c r="Y305" s="12"/>
      <c r="Z305" s="12"/>
    </row>
    <row r="306" spans="1:26" hidden="1" x14ac:dyDescent="0.15">
      <c r="A306" s="22"/>
      <c r="K306" s="23"/>
      <c r="S306" s="12"/>
      <c r="T306" s="12"/>
      <c r="U306" s="12"/>
      <c r="V306" s="12"/>
      <c r="W306" s="12"/>
      <c r="X306" s="12"/>
      <c r="Y306" s="12"/>
      <c r="Z306" s="12"/>
    </row>
    <row r="307" spans="1:26" hidden="1" x14ac:dyDescent="0.15">
      <c r="A307" s="22" t="s">
        <v>494</v>
      </c>
      <c r="C307" s="11" t="str">
        <f>IF(AND(G8=25,G5=17),LOOKUP(G6,Age,Term1725),IF(AND(G8=26,G5=17),LOOKUP(G6,Age,Term1726),IF(AND(G8=27,G5=17),LOOKUP(G6,Age,Term1727),IF(AND(G8=28,G5=3),LOOKUP(G6,Age,Term1728),IF(AND(G8=29,G5=17),LOOKUP(G6,Age,Term1729),IF(AND(G8=30,G5=17),LOOKUP(G6,Age,Term1730),IF(AND(G8=31,G5=17),LOOKUP(G6,Age,Term1731),D307)))))))</f>
        <v>0</v>
      </c>
      <c r="D307" s="11" t="str">
        <f>IF(AND(G8=32,G5=17),LOOKUP(G6,Age,Term1732),IF(AND(G8=33,G5=17),LOOKUP(G6,Age,Term1733),IF(AND(G8=34,G5=17),LOOKUP(G6,Age,Term1734),IF(AND(G8=35,G5=3),LOOKUP(G6,Age,Term1735),IF(AND(G8=36,G5=17),LOOKUP(G6,Age,Term1736),IF(AND(G8=37,G5=17),LOOKUP(G6,Age,Term1737),IF(AND(G8=38,G5=17),LOOKUP(G6,Age,Term1738),E307)))))))</f>
        <v>0</v>
      </c>
      <c r="E307" s="11" t="str">
        <f>IF(AND(G8=39,G5=17),LOOKUP(G6,Age,Term1739),IF(AND(G8=40,G5=17),LOOKUP(G6,Age,Term1740),"0"))</f>
        <v>0</v>
      </c>
      <c r="K307" s="23"/>
      <c r="S307" s="12"/>
      <c r="T307" s="12"/>
      <c r="U307" s="12"/>
      <c r="V307" s="12"/>
      <c r="W307" s="12"/>
      <c r="X307" s="12"/>
      <c r="Y307" s="12"/>
      <c r="Z307" s="12"/>
    </row>
    <row r="308" spans="1:26" hidden="1" x14ac:dyDescent="0.15">
      <c r="A308" s="22"/>
      <c r="K308" s="23"/>
      <c r="S308" s="12"/>
      <c r="T308" s="12"/>
      <c r="U308" s="12"/>
      <c r="V308" s="12"/>
      <c r="W308" s="12"/>
      <c r="X308" s="12"/>
      <c r="Y308" s="12"/>
      <c r="Z308" s="12"/>
    </row>
    <row r="309" spans="1:26" hidden="1" x14ac:dyDescent="0.15">
      <c r="A309" s="22" t="s">
        <v>495</v>
      </c>
      <c r="C309" s="11" t="str">
        <f>IF(AND(G8=15,G5=18),LOOKUP(G6,Age,Term1815),IF(AND(G8=20,G5=18),LOOKUP(G6,Age,Term1820),"0"))</f>
        <v>0</v>
      </c>
      <c r="K309" s="23"/>
      <c r="S309" s="12"/>
      <c r="T309" s="12"/>
      <c r="U309" s="12"/>
      <c r="V309" s="12"/>
      <c r="W309" s="12"/>
      <c r="X309" s="12"/>
      <c r="Y309" s="12"/>
      <c r="Z309" s="12"/>
    </row>
    <row r="310" spans="1:26" hidden="1" x14ac:dyDescent="0.15">
      <c r="A310" s="22"/>
      <c r="K310" s="23"/>
      <c r="S310" s="12"/>
      <c r="T310" s="12"/>
      <c r="U310" s="12"/>
      <c r="V310" s="12"/>
      <c r="W310" s="12"/>
      <c r="X310" s="12"/>
      <c r="Y310" s="12"/>
      <c r="Z310" s="12"/>
    </row>
    <row r="311" spans="1:26" hidden="1" x14ac:dyDescent="0.15">
      <c r="A311" s="22" t="s">
        <v>492</v>
      </c>
      <c r="C311" s="11" t="str">
        <f>IF(AND(G8=5,G5=24),LOOKUP(G6,Age,Term2405),IF(AND(G8=6,G5=24),LOOKUP(G6,Age,Term2406),IF(AND(G8=7,G5=24),LOOKUP(G6,Age,Term2407),IF(AND(G8=8,G5=24),LOOKUP(G6,Age,Term2408),IF(AND(G8=9,G5=24),LOOKUP(G6,Age,Term2409),IF(AND(G8=10,G5=24),LOOKUP(G6,Age,Term2410),"0"))))))</f>
        <v>0</v>
      </c>
      <c r="K311" s="23"/>
      <c r="S311" s="12"/>
      <c r="T311" s="12"/>
      <c r="U311" s="12"/>
      <c r="V311" s="12"/>
      <c r="W311" s="12"/>
      <c r="X311" s="12"/>
      <c r="Y311" s="12"/>
      <c r="Z311" s="12"/>
    </row>
    <row r="312" spans="1:26" hidden="1" x14ac:dyDescent="0.15">
      <c r="A312" s="22"/>
      <c r="K312" s="23"/>
      <c r="S312" s="12"/>
      <c r="T312" s="12"/>
      <c r="U312" s="12"/>
      <c r="V312" s="12"/>
      <c r="W312" s="12"/>
      <c r="X312" s="12"/>
      <c r="Y312" s="12"/>
      <c r="Z312" s="12"/>
    </row>
    <row r="313" spans="1:26" hidden="1" x14ac:dyDescent="0.15">
      <c r="A313" s="22" t="s">
        <v>496</v>
      </c>
      <c r="C313" s="11" t="str">
        <f>IF(AND(G8=5,G5=25),LOOKUP(G6,Age,Term2505),IF(AND(G8=6,G5=25),LOOKUP(G6,Age,Term2506),IF(AND(G8=7,G5=25),LOOKUP(G6,Age,Term2507),IF(AND(G8=8,G5=25),LOOKUP(G6,Age,Term2508),IF(AND(G8=9,G5=25),LOOKUP(G6,Age,Term2509),IF(AND(G8=10,G5=25),LOOKUP(G6,Age,Term2510),"0"))))))</f>
        <v>0</v>
      </c>
      <c r="K313" s="23"/>
      <c r="S313" s="12"/>
      <c r="T313" s="12"/>
      <c r="U313" s="12"/>
      <c r="V313" s="12"/>
      <c r="W313" s="12"/>
      <c r="X313" s="12"/>
      <c r="Y313" s="12"/>
      <c r="Z313" s="12"/>
    </row>
    <row r="314" spans="1:26" hidden="1" x14ac:dyDescent="0.15">
      <c r="A314" s="22"/>
      <c r="K314" s="23"/>
      <c r="S314" s="12"/>
      <c r="T314" s="12"/>
      <c r="U314" s="12"/>
      <c r="V314" s="12"/>
      <c r="W314" s="12"/>
      <c r="X314" s="12"/>
      <c r="Y314" s="12"/>
      <c r="Z314" s="12"/>
    </row>
    <row r="315" spans="1:26" hidden="1" x14ac:dyDescent="0.15">
      <c r="A315" s="22" t="s">
        <v>505</v>
      </c>
      <c r="C315" s="11" t="str">
        <f>IF(AND(G8=12,G5=74),LOOKUP(G6,Age,Term74A12),IF(AND(G8=15,G5=74),LOOKUP(G6,Age,Term74A15),IF(AND(G8=18,G5=74),LOOKUP(G6,Age,Term74A18),IF(AND(G8=21,G5=74),LOOKUP(G6,Age,Term74A21),IF(AND(G8=24,G5=74),LOOKUP(G6,Age,Term74A24),IF(AND(G8=27,G5=74),LOOKUP(G6,Age,Term74A27),IF(AND(G8=30,G5=74),LOOKUP(G6,Age,Term74A30),"0")))))))</f>
        <v>0</v>
      </c>
      <c r="K315" s="23"/>
      <c r="S315" s="12"/>
      <c r="T315" s="12"/>
      <c r="U315" s="12"/>
      <c r="V315" s="12"/>
      <c r="W315" s="12"/>
      <c r="X315" s="12"/>
      <c r="Y315" s="12"/>
      <c r="Z315" s="12"/>
    </row>
    <row r="316" spans="1:26" hidden="1" x14ac:dyDescent="0.15">
      <c r="A316" s="22"/>
      <c r="K316" s="23"/>
      <c r="S316" s="12"/>
      <c r="T316" s="12"/>
      <c r="U316" s="12"/>
      <c r="V316" s="12"/>
      <c r="W316" s="12"/>
      <c r="X316" s="12"/>
      <c r="Y316" s="12"/>
      <c r="Z316" s="12"/>
    </row>
    <row r="317" spans="1:26" hidden="1" x14ac:dyDescent="0.15">
      <c r="A317" s="22" t="s">
        <v>506</v>
      </c>
      <c r="C317" s="11" t="str">
        <f>IF(AND(G8=12,G5=74),LOOKUP(G6,Age,Term74B12),IF(AND(G8=15,G5=74),LOOKUP(G6,Age,Term74B15),IF(AND(G8=18,G5=74),LOOKUP(G6,Age,Term74B18),IF(AND(G8=21,G5=74),LOOKUP(G6,Age,Term74B21),IF(AND(G8=24,G5=74),LOOKUP(G6,Age,Term74B24),IF(AND(G8=27,G5=74),LOOKUP(G6,Age,Term74B27),IF(AND(G8=30,G5=74),LOOKUP(G6,Age,Term74B30),"0")))))))</f>
        <v>0</v>
      </c>
      <c r="K317" s="23"/>
      <c r="S317" s="12"/>
      <c r="T317" s="12"/>
      <c r="U317" s="12"/>
      <c r="V317" s="12"/>
      <c r="W317" s="12"/>
      <c r="X317" s="12"/>
      <c r="Y317" s="12"/>
      <c r="Z317" s="12"/>
    </row>
    <row r="318" spans="1:26" hidden="1" x14ac:dyDescent="0.15">
      <c r="A318" s="22"/>
      <c r="K318" s="23"/>
      <c r="S318" s="12"/>
      <c r="T318" s="12"/>
      <c r="U318" s="12"/>
      <c r="V318" s="12"/>
      <c r="W318" s="12"/>
      <c r="X318" s="12"/>
      <c r="Y318" s="12"/>
      <c r="Z318" s="12"/>
    </row>
    <row r="319" spans="1:26" hidden="1" x14ac:dyDescent="0.15">
      <c r="A319" s="22"/>
      <c r="K319" s="23"/>
      <c r="S319" s="12"/>
      <c r="T319" s="12"/>
      <c r="U319" s="12"/>
      <c r="V319" s="12"/>
      <c r="W319" s="12"/>
      <c r="X319" s="12"/>
      <c r="Y319" s="12"/>
      <c r="Z319" s="12"/>
    </row>
    <row r="320" spans="1:26" hidden="1" x14ac:dyDescent="0.15">
      <c r="A320" s="22"/>
      <c r="K320" s="23"/>
      <c r="S320" s="12"/>
      <c r="T320" s="12"/>
      <c r="U320" s="12"/>
      <c r="V320" s="12"/>
      <c r="W320" s="12"/>
      <c r="X320" s="12"/>
      <c r="Y320" s="12"/>
      <c r="Z320" s="12"/>
    </row>
    <row r="321" spans="1:26" hidden="1" x14ac:dyDescent="0.15">
      <c r="A321" s="22"/>
      <c r="K321" s="23"/>
      <c r="S321" s="12"/>
      <c r="T321" s="12"/>
      <c r="U321" s="12"/>
      <c r="V321" s="12"/>
      <c r="W321" s="12"/>
      <c r="X321" s="12"/>
      <c r="Y321" s="12"/>
      <c r="Z321" s="12"/>
    </row>
    <row r="322" spans="1:26" hidden="1" x14ac:dyDescent="0.15">
      <c r="A322" s="22"/>
      <c r="K322" s="23"/>
      <c r="S322" s="12"/>
      <c r="T322" s="12"/>
      <c r="U322" s="12"/>
      <c r="V322" s="12"/>
      <c r="W322" s="12"/>
      <c r="X322" s="12"/>
      <c r="Y322" s="12"/>
      <c r="Z322" s="12"/>
    </row>
    <row r="323" spans="1:26" hidden="1" x14ac:dyDescent="0.15">
      <c r="A323" s="22"/>
      <c r="K323" s="23"/>
      <c r="S323" s="12"/>
      <c r="T323" s="12"/>
      <c r="U323" s="12"/>
      <c r="V323" s="12"/>
      <c r="W323" s="12"/>
      <c r="X323" s="12"/>
      <c r="Y323" s="12"/>
      <c r="Z323" s="12"/>
    </row>
    <row r="324" spans="1:26" hidden="1" x14ac:dyDescent="0.15">
      <c r="A324" s="22"/>
      <c r="K324" s="23"/>
      <c r="S324" s="12"/>
      <c r="T324" s="12"/>
      <c r="U324" s="12"/>
      <c r="V324" s="12"/>
      <c r="W324" s="12"/>
      <c r="X324" s="12"/>
      <c r="Y324" s="12"/>
      <c r="Z324" s="12"/>
    </row>
    <row r="325" spans="1:26" hidden="1" x14ac:dyDescent="0.15">
      <c r="A325" s="22"/>
      <c r="K325" s="23"/>
      <c r="S325" s="12"/>
      <c r="T325" s="12"/>
      <c r="V325" s="12"/>
      <c r="W325" s="12"/>
      <c r="X325" s="12"/>
      <c r="Y325" s="12"/>
      <c r="Z325" s="12"/>
    </row>
    <row r="326" spans="1:26" ht="14" hidden="1" thickBot="1" x14ac:dyDescent="0.2">
      <c r="A326" s="24"/>
      <c r="B326" s="25"/>
      <c r="C326" s="25"/>
      <c r="D326" s="25"/>
      <c r="E326" s="25"/>
      <c r="F326" s="25"/>
      <c r="G326" s="25"/>
      <c r="H326" s="25"/>
      <c r="I326" s="25"/>
      <c r="J326" s="25"/>
      <c r="K326" s="26"/>
    </row>
    <row r="327" spans="1:26" hidden="1" x14ac:dyDescent="0.15"/>
    <row r="328" spans="1:26" hidden="1" x14ac:dyDescent="0.15"/>
    <row r="329" spans="1:26" hidden="1" x14ac:dyDescent="0.15"/>
    <row r="330" spans="1:26" hidden="1" x14ac:dyDescent="0.15"/>
    <row r="331" spans="1:26" hidden="1" x14ac:dyDescent="0.15"/>
    <row r="332" spans="1:26" hidden="1" x14ac:dyDescent="0.15">
      <c r="C332" s="11" t="s">
        <v>0</v>
      </c>
      <c r="D332" s="11" t="s">
        <v>373</v>
      </c>
      <c r="E332" s="11" t="s">
        <v>227</v>
      </c>
      <c r="F332" s="11" t="s">
        <v>272</v>
      </c>
      <c r="G332" s="11" t="s">
        <v>177</v>
      </c>
      <c r="I332" s="11" t="s">
        <v>375</v>
      </c>
      <c r="J332" s="11" t="s">
        <v>376</v>
      </c>
    </row>
    <row r="333" spans="1:26" hidden="1" x14ac:dyDescent="0.15">
      <c r="C333" s="11">
        <v>10</v>
      </c>
      <c r="D333" s="11">
        <v>10</v>
      </c>
      <c r="E333" s="11">
        <v>1</v>
      </c>
      <c r="F333" s="11">
        <v>10</v>
      </c>
      <c r="G333" s="11">
        <v>1</v>
      </c>
      <c r="I333" s="11">
        <v>10</v>
      </c>
      <c r="J333" s="11" t="s">
        <v>374</v>
      </c>
    </row>
    <row r="334" spans="1:26" hidden="1" x14ac:dyDescent="0.15">
      <c r="C334" s="11">
        <v>11</v>
      </c>
      <c r="D334" s="11">
        <v>11</v>
      </c>
      <c r="E334" s="11">
        <v>2</v>
      </c>
      <c r="F334" s="11">
        <v>11</v>
      </c>
      <c r="G334" s="11">
        <v>2</v>
      </c>
      <c r="I334" s="11">
        <v>11</v>
      </c>
    </row>
    <row r="335" spans="1:26" hidden="1" x14ac:dyDescent="0.15">
      <c r="C335" s="11">
        <v>12</v>
      </c>
      <c r="D335" s="11">
        <v>12</v>
      </c>
      <c r="E335" s="11">
        <v>3</v>
      </c>
      <c r="F335" s="11">
        <v>12</v>
      </c>
      <c r="G335" s="11">
        <v>3</v>
      </c>
      <c r="I335" s="11">
        <v>12</v>
      </c>
    </row>
    <row r="336" spans="1:26" hidden="1" x14ac:dyDescent="0.15">
      <c r="C336" s="11">
        <v>13</v>
      </c>
      <c r="D336" s="11">
        <v>13</v>
      </c>
      <c r="F336" s="11">
        <v>13</v>
      </c>
      <c r="G336" s="11">
        <v>4</v>
      </c>
      <c r="I336" s="11">
        <v>13</v>
      </c>
    </row>
    <row r="337" spans="3:9" hidden="1" x14ac:dyDescent="0.15">
      <c r="C337" s="11">
        <v>14</v>
      </c>
      <c r="D337" s="11">
        <v>14</v>
      </c>
      <c r="F337" s="11">
        <v>14</v>
      </c>
      <c r="G337" s="11">
        <v>5</v>
      </c>
      <c r="I337" s="11">
        <v>14</v>
      </c>
    </row>
    <row r="338" spans="3:9" hidden="1" x14ac:dyDescent="0.15">
      <c r="C338" s="11">
        <v>15</v>
      </c>
      <c r="D338" s="11">
        <v>15</v>
      </c>
      <c r="F338" s="11">
        <v>15</v>
      </c>
      <c r="G338" s="11">
        <v>6</v>
      </c>
      <c r="I338" s="11">
        <v>15</v>
      </c>
    </row>
    <row r="339" spans="3:9" hidden="1" x14ac:dyDescent="0.15">
      <c r="C339" s="11">
        <v>16</v>
      </c>
      <c r="D339" s="11">
        <v>16</v>
      </c>
      <c r="F339" s="11">
        <v>16</v>
      </c>
      <c r="G339" s="11">
        <v>7</v>
      </c>
      <c r="I339" s="11">
        <v>16</v>
      </c>
    </row>
    <row r="340" spans="3:9" hidden="1" x14ac:dyDescent="0.15">
      <c r="C340" s="11">
        <v>17</v>
      </c>
      <c r="D340" s="11">
        <v>17</v>
      </c>
      <c r="F340" s="11">
        <v>17</v>
      </c>
      <c r="G340" s="11">
        <v>9</v>
      </c>
      <c r="I340" s="11">
        <v>17</v>
      </c>
    </row>
    <row r="341" spans="3:9" hidden="1" x14ac:dyDescent="0.15">
      <c r="C341" s="11">
        <v>18</v>
      </c>
      <c r="D341" s="11">
        <v>18</v>
      </c>
      <c r="F341" s="11">
        <v>18</v>
      </c>
      <c r="G341" s="11">
        <v>12</v>
      </c>
      <c r="I341" s="11">
        <v>18</v>
      </c>
    </row>
    <row r="342" spans="3:9" hidden="1" x14ac:dyDescent="0.15">
      <c r="C342" s="11">
        <v>19</v>
      </c>
      <c r="D342" s="11">
        <v>19</v>
      </c>
      <c r="F342" s="11">
        <v>19</v>
      </c>
      <c r="G342" s="11">
        <v>17</v>
      </c>
      <c r="I342" s="11">
        <v>19</v>
      </c>
    </row>
    <row r="343" spans="3:9" hidden="1" x14ac:dyDescent="0.15">
      <c r="C343" s="11">
        <v>20</v>
      </c>
      <c r="D343" s="11">
        <v>20</v>
      </c>
      <c r="F343" s="11">
        <v>20</v>
      </c>
      <c r="G343" s="11">
        <v>18</v>
      </c>
      <c r="I343" s="11">
        <v>20</v>
      </c>
    </row>
    <row r="344" spans="3:9" hidden="1" x14ac:dyDescent="0.15">
      <c r="C344" s="11">
        <v>21</v>
      </c>
      <c r="D344" s="11">
        <v>21</v>
      </c>
      <c r="F344" s="11">
        <v>21</v>
      </c>
      <c r="G344" s="11">
        <v>19</v>
      </c>
      <c r="I344" s="11">
        <v>21</v>
      </c>
    </row>
    <row r="345" spans="3:9" hidden="1" x14ac:dyDescent="0.15">
      <c r="C345" s="11">
        <v>22</v>
      </c>
      <c r="D345" s="11">
        <v>22</v>
      </c>
      <c r="F345" s="11">
        <v>22</v>
      </c>
      <c r="G345" s="11">
        <v>24</v>
      </c>
      <c r="I345" s="11">
        <v>22</v>
      </c>
    </row>
    <row r="346" spans="3:9" hidden="1" x14ac:dyDescent="0.15">
      <c r="C346" s="11">
        <v>23</v>
      </c>
      <c r="D346" s="11">
        <v>23</v>
      </c>
      <c r="F346" s="11">
        <v>23</v>
      </c>
      <c r="G346" s="11">
        <v>25</v>
      </c>
      <c r="I346" s="11">
        <v>23</v>
      </c>
    </row>
    <row r="347" spans="3:9" hidden="1" x14ac:dyDescent="0.15">
      <c r="C347" s="11">
        <v>24</v>
      </c>
      <c r="D347" s="11">
        <v>24</v>
      </c>
      <c r="F347" s="11">
        <v>24</v>
      </c>
      <c r="G347" s="11">
        <v>36</v>
      </c>
      <c r="I347" s="11">
        <v>24</v>
      </c>
    </row>
    <row r="348" spans="3:9" hidden="1" x14ac:dyDescent="0.15">
      <c r="C348" s="11">
        <v>25</v>
      </c>
      <c r="D348" s="11">
        <v>25</v>
      </c>
      <c r="F348" s="11">
        <v>25</v>
      </c>
      <c r="G348" s="11">
        <v>74</v>
      </c>
      <c r="I348" s="11">
        <v>25</v>
      </c>
    </row>
    <row r="349" spans="3:9" hidden="1" x14ac:dyDescent="0.15">
      <c r="C349" s="11">
        <v>26</v>
      </c>
      <c r="D349" s="11">
        <v>26</v>
      </c>
      <c r="F349" s="11">
        <v>26</v>
      </c>
      <c r="G349" s="11">
        <v>75</v>
      </c>
      <c r="I349" s="11">
        <v>26</v>
      </c>
    </row>
    <row r="350" spans="3:9" hidden="1" x14ac:dyDescent="0.15">
      <c r="C350" s="11">
        <v>27</v>
      </c>
      <c r="D350" s="11">
        <v>27</v>
      </c>
      <c r="F350" s="11">
        <v>27</v>
      </c>
      <c r="G350" s="11">
        <v>76</v>
      </c>
      <c r="I350" s="11">
        <v>27</v>
      </c>
    </row>
    <row r="351" spans="3:9" hidden="1" x14ac:dyDescent="0.15">
      <c r="C351" s="11">
        <v>28</v>
      </c>
      <c r="D351" s="11">
        <v>28</v>
      </c>
      <c r="F351" s="11">
        <v>28</v>
      </c>
      <c r="G351" s="11">
        <v>78</v>
      </c>
      <c r="I351" s="11">
        <v>28</v>
      </c>
    </row>
    <row r="352" spans="3:9" hidden="1" x14ac:dyDescent="0.15">
      <c r="C352" s="11">
        <v>29</v>
      </c>
      <c r="D352" s="11">
        <v>29</v>
      </c>
      <c r="F352" s="11">
        <v>29</v>
      </c>
      <c r="I352" s="11">
        <v>29</v>
      </c>
    </row>
    <row r="353" spans="3:9" hidden="1" x14ac:dyDescent="0.15">
      <c r="C353" s="11">
        <v>30</v>
      </c>
      <c r="D353" s="11">
        <v>30</v>
      </c>
      <c r="F353" s="11">
        <v>30</v>
      </c>
      <c r="I353" s="11">
        <v>30</v>
      </c>
    </row>
    <row r="354" spans="3:9" hidden="1" x14ac:dyDescent="0.15">
      <c r="C354" s="11">
        <v>31</v>
      </c>
      <c r="D354" s="11">
        <v>31</v>
      </c>
      <c r="F354" s="11">
        <v>31</v>
      </c>
      <c r="I354" s="11">
        <v>31</v>
      </c>
    </row>
    <row r="355" spans="3:9" hidden="1" x14ac:dyDescent="0.15">
      <c r="C355" s="11">
        <v>32</v>
      </c>
      <c r="D355" s="11">
        <v>32</v>
      </c>
      <c r="F355" s="11">
        <v>32</v>
      </c>
      <c r="I355" s="11">
        <v>32</v>
      </c>
    </row>
    <row r="356" spans="3:9" hidden="1" x14ac:dyDescent="0.15">
      <c r="C356" s="11">
        <v>33</v>
      </c>
      <c r="D356" s="11">
        <v>33</v>
      </c>
      <c r="F356" s="11">
        <v>33</v>
      </c>
      <c r="I356" s="11">
        <v>33</v>
      </c>
    </row>
    <row r="357" spans="3:9" hidden="1" x14ac:dyDescent="0.15">
      <c r="C357" s="11">
        <v>34</v>
      </c>
      <c r="D357" s="11">
        <v>34</v>
      </c>
      <c r="F357" s="11">
        <v>34</v>
      </c>
      <c r="I357" s="11">
        <v>34</v>
      </c>
    </row>
    <row r="358" spans="3:9" hidden="1" x14ac:dyDescent="0.15">
      <c r="C358" s="11">
        <v>35</v>
      </c>
      <c r="D358" s="11">
        <v>35</v>
      </c>
      <c r="F358" s="11">
        <v>35</v>
      </c>
      <c r="I358" s="11">
        <v>35</v>
      </c>
    </row>
    <row r="359" spans="3:9" hidden="1" x14ac:dyDescent="0.15">
      <c r="C359" s="11">
        <v>36</v>
      </c>
      <c r="D359" s="11">
        <v>36</v>
      </c>
      <c r="F359" s="11">
        <v>36</v>
      </c>
      <c r="I359" s="11">
        <v>36</v>
      </c>
    </row>
    <row r="360" spans="3:9" hidden="1" x14ac:dyDescent="0.15">
      <c r="C360" s="11">
        <v>37</v>
      </c>
      <c r="D360" s="11">
        <v>37</v>
      </c>
      <c r="F360" s="11">
        <v>37</v>
      </c>
      <c r="I360" s="11">
        <v>37</v>
      </c>
    </row>
    <row r="361" spans="3:9" hidden="1" x14ac:dyDescent="0.15">
      <c r="C361" s="11">
        <v>38</v>
      </c>
      <c r="D361" s="11">
        <v>38</v>
      </c>
      <c r="F361" s="11">
        <v>38</v>
      </c>
      <c r="I361" s="11">
        <v>38</v>
      </c>
    </row>
    <row r="362" spans="3:9" hidden="1" x14ac:dyDescent="0.15">
      <c r="C362" s="11">
        <v>39</v>
      </c>
      <c r="D362" s="11">
        <v>39</v>
      </c>
      <c r="F362" s="11">
        <v>39</v>
      </c>
      <c r="I362" s="11">
        <v>39</v>
      </c>
    </row>
    <row r="363" spans="3:9" hidden="1" x14ac:dyDescent="0.15">
      <c r="C363" s="11">
        <v>40</v>
      </c>
      <c r="D363" s="11">
        <v>40</v>
      </c>
      <c r="F363" s="11">
        <v>40</v>
      </c>
      <c r="I363" s="11">
        <v>40</v>
      </c>
    </row>
    <row r="364" spans="3:9" hidden="1" x14ac:dyDescent="0.15">
      <c r="C364" s="11">
        <v>41</v>
      </c>
      <c r="D364" s="11">
        <v>41</v>
      </c>
      <c r="F364" s="11">
        <v>41</v>
      </c>
    </row>
    <row r="365" spans="3:9" hidden="1" x14ac:dyDescent="0.15">
      <c r="C365" s="11">
        <v>42</v>
      </c>
      <c r="D365" s="11">
        <v>42</v>
      </c>
      <c r="F365" s="11">
        <v>42</v>
      </c>
    </row>
    <row r="366" spans="3:9" hidden="1" x14ac:dyDescent="0.15">
      <c r="C366" s="11">
        <v>43</v>
      </c>
      <c r="D366" s="11">
        <v>43</v>
      </c>
      <c r="F366" s="11">
        <v>43</v>
      </c>
    </row>
    <row r="367" spans="3:9" hidden="1" x14ac:dyDescent="0.15">
      <c r="C367" s="11">
        <v>44</v>
      </c>
      <c r="D367" s="11">
        <v>44</v>
      </c>
      <c r="F367" s="11">
        <v>44</v>
      </c>
    </row>
    <row r="368" spans="3:9" hidden="1" x14ac:dyDescent="0.15">
      <c r="C368" s="11">
        <v>45</v>
      </c>
      <c r="D368" s="11">
        <v>45</v>
      </c>
      <c r="F368" s="11">
        <v>45</v>
      </c>
    </row>
    <row r="369" spans="3:6" hidden="1" x14ac:dyDescent="0.15">
      <c r="C369" s="11">
        <v>46</v>
      </c>
      <c r="D369" s="11">
        <v>46</v>
      </c>
      <c r="F369" s="11">
        <v>46</v>
      </c>
    </row>
    <row r="370" spans="3:6" hidden="1" x14ac:dyDescent="0.15">
      <c r="C370" s="11">
        <v>47</v>
      </c>
      <c r="D370" s="11">
        <v>47</v>
      </c>
      <c r="F370" s="11">
        <v>47</v>
      </c>
    </row>
    <row r="371" spans="3:6" hidden="1" x14ac:dyDescent="0.15">
      <c r="C371" s="11">
        <v>48</v>
      </c>
      <c r="D371" s="11">
        <v>48</v>
      </c>
      <c r="F371" s="11">
        <v>48</v>
      </c>
    </row>
    <row r="372" spans="3:6" hidden="1" x14ac:dyDescent="0.15">
      <c r="C372" s="11">
        <v>49</v>
      </c>
      <c r="D372" s="11">
        <v>49</v>
      </c>
      <c r="F372" s="11">
        <v>49</v>
      </c>
    </row>
    <row r="373" spans="3:6" hidden="1" x14ac:dyDescent="0.15">
      <c r="C373" s="11">
        <v>50</v>
      </c>
      <c r="D373" s="11">
        <v>50</v>
      </c>
      <c r="F373" s="11">
        <v>50</v>
      </c>
    </row>
    <row r="374" spans="3:6" hidden="1" x14ac:dyDescent="0.15">
      <c r="C374" s="11">
        <v>51</v>
      </c>
      <c r="F374" s="11">
        <v>51</v>
      </c>
    </row>
    <row r="375" spans="3:6" hidden="1" x14ac:dyDescent="0.15">
      <c r="C375" s="11">
        <v>52</v>
      </c>
      <c r="F375" s="11">
        <v>52</v>
      </c>
    </row>
    <row r="376" spans="3:6" hidden="1" x14ac:dyDescent="0.15">
      <c r="C376" s="11">
        <v>53</v>
      </c>
      <c r="F376" s="11">
        <v>53</v>
      </c>
    </row>
    <row r="377" spans="3:6" hidden="1" x14ac:dyDescent="0.15">
      <c r="C377" s="11">
        <v>54</v>
      </c>
      <c r="F377" s="11">
        <v>54</v>
      </c>
    </row>
    <row r="378" spans="3:6" hidden="1" x14ac:dyDescent="0.15">
      <c r="C378" s="11">
        <v>55</v>
      </c>
      <c r="F378" s="11">
        <v>55</v>
      </c>
    </row>
    <row r="379" spans="3:6" hidden="1" x14ac:dyDescent="0.15">
      <c r="C379" s="11">
        <v>56</v>
      </c>
      <c r="F379" s="11">
        <v>70</v>
      </c>
    </row>
    <row r="380" spans="3:6" hidden="1" x14ac:dyDescent="0.15">
      <c r="C380" s="11">
        <v>57</v>
      </c>
    </row>
    <row r="381" spans="3:6" hidden="1" x14ac:dyDescent="0.15">
      <c r="C381" s="11">
        <v>58</v>
      </c>
    </row>
    <row r="382" spans="3:6" hidden="1" x14ac:dyDescent="0.15">
      <c r="C382" s="11">
        <v>59</v>
      </c>
    </row>
    <row r="383" spans="3:6" hidden="1" x14ac:dyDescent="0.15">
      <c r="C383" s="11">
        <v>60</v>
      </c>
    </row>
    <row r="384" spans="3:6" hidden="1" x14ac:dyDescent="0.15">
      <c r="C384" s="11">
        <v>61</v>
      </c>
    </row>
    <row r="385" spans="3:3" hidden="1" x14ac:dyDescent="0.15">
      <c r="C385" s="11">
        <v>62</v>
      </c>
    </row>
    <row r="386" spans="3:3" hidden="1" x14ac:dyDescent="0.15">
      <c r="C386" s="11">
        <v>63</v>
      </c>
    </row>
    <row r="387" spans="3:3" hidden="1" x14ac:dyDescent="0.15">
      <c r="C387" s="11">
        <v>64</v>
      </c>
    </row>
    <row r="388" spans="3:3" hidden="1" x14ac:dyDescent="0.15">
      <c r="C388" s="11">
        <v>65</v>
      </c>
    </row>
    <row r="389" spans="3:3" hidden="1" x14ac:dyDescent="0.15"/>
    <row r="390" spans="3:3" hidden="1" x14ac:dyDescent="0.15"/>
    <row r="391" spans="3:3" hidden="1" x14ac:dyDescent="0.15"/>
    <row r="392" spans="3:3" hidden="1" x14ac:dyDescent="0.15"/>
    <row r="393" spans="3:3" hidden="1" x14ac:dyDescent="0.15"/>
    <row r="394" spans="3:3" hidden="1" x14ac:dyDescent="0.15"/>
    <row r="395" spans="3:3" hidden="1" x14ac:dyDescent="0.15"/>
    <row r="396" spans="3:3" hidden="1" x14ac:dyDescent="0.15"/>
    <row r="397" spans="3:3" hidden="1" x14ac:dyDescent="0.15"/>
    <row r="398" spans="3:3" hidden="1" x14ac:dyDescent="0.15"/>
    <row r="399" spans="3:3" hidden="1" x14ac:dyDescent="0.15"/>
    <row r="400" spans="3:3" hidden="1" x14ac:dyDescent="0.15"/>
  </sheetData>
  <sheetProtection password="D04A" sheet="1" objects="1" scenarios="1"/>
  <mergeCells count="7">
    <mergeCell ref="I4:J4"/>
    <mergeCell ref="C3:J3"/>
    <mergeCell ref="E19:G19"/>
    <mergeCell ref="B2:K2"/>
    <mergeCell ref="M3:P19"/>
    <mergeCell ref="M2:P2"/>
    <mergeCell ref="I18:J18"/>
  </mergeCells>
  <phoneticPr fontId="0" type="noConversion"/>
  <dataValidations count="9">
    <dataValidation type="list" allowBlank="1" showInputMessage="1" showErrorMessage="1" sqref="G6" xr:uid="{00000000-0002-0000-0000-000000000000}">
      <formula1>$C$333:$C$388</formula1>
    </dataValidation>
    <dataValidation type="list" allowBlank="1" showInputMessage="1" showErrorMessage="1" sqref="D10" xr:uid="{00000000-0002-0000-0000-000001000000}">
      <formula1>$D$333:$D$373</formula1>
    </dataValidation>
    <dataValidation type="list" allowBlank="1" showInputMessage="1" showErrorMessage="1" sqref="D11" xr:uid="{00000000-0002-0000-0000-000002000000}">
      <formula1>$E$333:$E$335</formula1>
    </dataValidation>
    <dataValidation type="list" allowBlank="1" showInputMessage="1" showErrorMessage="1" sqref="G8" xr:uid="{00000000-0002-0000-0000-000003000000}">
      <formula1>$F$333:$F$379</formula1>
    </dataValidation>
    <dataValidation type="list" allowBlank="1" showInputMessage="1" showErrorMessage="1" sqref="G5" xr:uid="{00000000-0002-0000-0000-000004000000}">
      <formula1>$G$333:$G$351</formula1>
    </dataValidation>
    <dataValidation type="list" allowBlank="1" showInputMessage="1" showErrorMessage="1" sqref="F10" xr:uid="{00000000-0002-0000-0000-000005000000}">
      <formula1>$F$333:$F$368</formula1>
    </dataValidation>
    <dataValidation type="list" allowBlank="1" showInputMessage="1" showErrorMessage="1" sqref="F11 F17" xr:uid="{00000000-0002-0000-0000-000006000000}">
      <formula1>$F$333:$F$348</formula1>
    </dataValidation>
    <dataValidation type="list" allowBlank="1" showInputMessage="1" showErrorMessage="1" sqref="F12" xr:uid="{00000000-0002-0000-0000-000007000000}">
      <formula1>$I$333:$I$363</formula1>
    </dataValidation>
    <dataValidation type="list" allowBlank="1" showInputMessage="1" showErrorMessage="1" sqref="G10:G17" xr:uid="{00000000-0002-0000-0000-000008000000}">
      <formula1>$J$333</formula1>
    </dataValidation>
  </dataValidations>
  <pageMargins left="0.22" right="0.16" top="1" bottom="1" header="0.51" footer="0.5"/>
  <pageSetup orientation="landscape" blackAndWhite="1" horizontalDpi="180" verticalDpi="18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32"/>
  <sheetViews>
    <sheetView workbookViewId="0">
      <selection activeCell="Q21" sqref="Q21"/>
    </sheetView>
  </sheetViews>
  <sheetFormatPr baseColWidth="10" defaultColWidth="8.83203125" defaultRowHeight="13" x14ac:dyDescent="0.15"/>
  <cols>
    <col min="2" max="32" width="5.6640625" customWidth="1"/>
  </cols>
  <sheetData>
    <row r="1" spans="1:32" x14ac:dyDescent="0.15">
      <c r="B1" s="196">
        <v>10</v>
      </c>
      <c r="C1" s="196">
        <v>11</v>
      </c>
      <c r="D1" s="196">
        <v>12</v>
      </c>
      <c r="E1" s="196">
        <v>13</v>
      </c>
      <c r="F1" s="196">
        <v>14</v>
      </c>
      <c r="G1" s="196">
        <v>15</v>
      </c>
      <c r="H1" s="196">
        <v>16</v>
      </c>
      <c r="I1" s="196">
        <v>17</v>
      </c>
      <c r="J1" s="196">
        <v>18</v>
      </c>
      <c r="K1" s="196">
        <v>19</v>
      </c>
      <c r="L1" s="196">
        <v>20</v>
      </c>
      <c r="M1" s="196">
        <v>21</v>
      </c>
      <c r="N1" s="196">
        <v>22</v>
      </c>
      <c r="O1" s="196">
        <v>23</v>
      </c>
      <c r="P1" s="196">
        <v>24</v>
      </c>
      <c r="Q1" s="196">
        <v>25</v>
      </c>
      <c r="R1" s="196">
        <v>26</v>
      </c>
      <c r="S1" s="196">
        <v>27</v>
      </c>
      <c r="T1" s="196">
        <v>28</v>
      </c>
      <c r="U1" s="196">
        <v>29</v>
      </c>
      <c r="V1" s="196">
        <v>30</v>
      </c>
      <c r="W1" s="196">
        <v>31</v>
      </c>
      <c r="X1" s="196">
        <v>32</v>
      </c>
      <c r="Y1" s="196">
        <v>33</v>
      </c>
      <c r="Z1" s="196">
        <v>34</v>
      </c>
      <c r="AA1" s="196">
        <v>35</v>
      </c>
      <c r="AB1" s="196">
        <v>36</v>
      </c>
      <c r="AC1" s="196">
        <v>37</v>
      </c>
      <c r="AD1" s="196">
        <v>38</v>
      </c>
      <c r="AE1" s="196">
        <v>39</v>
      </c>
      <c r="AF1" s="196">
        <v>40</v>
      </c>
    </row>
    <row r="2" spans="1:32" x14ac:dyDescent="0.15">
      <c r="A2" s="196">
        <v>20</v>
      </c>
      <c r="G2">
        <v>0.83299999999999996</v>
      </c>
      <c r="L2">
        <v>0.93799999999999994</v>
      </c>
      <c r="Q2">
        <v>1.042</v>
      </c>
      <c r="V2">
        <v>1.198</v>
      </c>
      <c r="AA2">
        <v>1.4059999999999999</v>
      </c>
      <c r="AF2">
        <v>1.667</v>
      </c>
    </row>
    <row r="3" spans="1:32" x14ac:dyDescent="0.15">
      <c r="A3" s="197">
        <v>21</v>
      </c>
      <c r="F3">
        <v>0.80100000000000005</v>
      </c>
      <c r="K3">
        <v>0.96399999999999997</v>
      </c>
      <c r="P3">
        <v>1.073</v>
      </c>
      <c r="U3">
        <v>1.2090000000000001</v>
      </c>
      <c r="Z3">
        <v>1.456</v>
      </c>
      <c r="AE3">
        <v>1.7669999999999999</v>
      </c>
    </row>
    <row r="4" spans="1:32" x14ac:dyDescent="0.15">
      <c r="A4" s="196">
        <v>22</v>
      </c>
      <c r="E4">
        <v>0.82299999999999995</v>
      </c>
      <c r="J4">
        <v>0.98699999999999999</v>
      </c>
      <c r="O4">
        <v>1.1060000000000001</v>
      </c>
      <c r="T4">
        <v>1.224</v>
      </c>
      <c r="Y4">
        <v>1.4710000000000001</v>
      </c>
      <c r="AD4">
        <v>1.84</v>
      </c>
    </row>
    <row r="5" spans="1:32" x14ac:dyDescent="0.15">
      <c r="A5" s="197">
        <v>23</v>
      </c>
      <c r="D5">
        <v>0.85099999999999998</v>
      </c>
      <c r="I5">
        <v>1.0109999999999999</v>
      </c>
      <c r="N5">
        <v>1.1339999999999999</v>
      </c>
      <c r="S5">
        <v>1.2609999999999999</v>
      </c>
      <c r="X5">
        <v>1.5329999999999999</v>
      </c>
      <c r="AC5">
        <v>1.893</v>
      </c>
    </row>
    <row r="6" spans="1:32" x14ac:dyDescent="0.15">
      <c r="A6" s="196">
        <v>24</v>
      </c>
      <c r="C6">
        <v>0.88700000000000001</v>
      </c>
      <c r="H6">
        <v>1.03</v>
      </c>
      <c r="M6">
        <v>1.165</v>
      </c>
      <c r="R6">
        <v>1.284</v>
      </c>
      <c r="W6">
        <v>1.5840000000000001</v>
      </c>
      <c r="AB6">
        <v>1.9370000000000001</v>
      </c>
    </row>
    <row r="7" spans="1:32" x14ac:dyDescent="0.15">
      <c r="A7" s="197">
        <v>25</v>
      </c>
      <c r="B7" t="s">
        <v>357</v>
      </c>
      <c r="G7">
        <v>1.042</v>
      </c>
      <c r="L7">
        <v>1.198</v>
      </c>
      <c r="Q7">
        <v>1.3540000000000001</v>
      </c>
      <c r="V7">
        <v>1.615</v>
      </c>
      <c r="AA7">
        <v>1.9790000000000001</v>
      </c>
    </row>
    <row r="8" spans="1:32" x14ac:dyDescent="0.15">
      <c r="A8" s="196">
        <v>26</v>
      </c>
      <c r="F8">
        <v>1.0660000000000001</v>
      </c>
      <c r="K8">
        <v>1.2150000000000001</v>
      </c>
      <c r="P8">
        <v>1.4119999999999999</v>
      </c>
      <c r="U8">
        <v>1.6639999999999999</v>
      </c>
      <c r="Z8">
        <v>2.0510000000000002</v>
      </c>
    </row>
    <row r="9" spans="1:32" x14ac:dyDescent="0.15">
      <c r="A9" s="197">
        <v>27</v>
      </c>
      <c r="E9">
        <v>1.097</v>
      </c>
      <c r="J9">
        <v>1.228</v>
      </c>
      <c r="O9">
        <v>1.448</v>
      </c>
      <c r="T9">
        <v>1.7350000000000001</v>
      </c>
      <c r="Y9">
        <v>2.1139999999999999</v>
      </c>
    </row>
    <row r="10" spans="1:32" x14ac:dyDescent="0.15">
      <c r="A10" s="196">
        <v>28</v>
      </c>
      <c r="D10">
        <v>1.1240000000000001</v>
      </c>
      <c r="I10">
        <v>1.242</v>
      </c>
      <c r="N10">
        <v>1.4630000000000001</v>
      </c>
      <c r="S10">
        <v>1.8109999999999999</v>
      </c>
      <c r="X10">
        <v>2.17</v>
      </c>
    </row>
    <row r="11" spans="1:32" x14ac:dyDescent="0.15">
      <c r="A11" s="197">
        <v>29</v>
      </c>
      <c r="C11">
        <v>1.127</v>
      </c>
      <c r="H11">
        <v>1.284</v>
      </c>
      <c r="M11">
        <v>1.512</v>
      </c>
      <c r="R11">
        <v>1.843</v>
      </c>
      <c r="W11">
        <v>2.2269999999999999</v>
      </c>
    </row>
    <row r="12" spans="1:32" x14ac:dyDescent="0.15">
      <c r="A12" s="196">
        <v>30</v>
      </c>
      <c r="B12">
        <v>1.1459999999999999</v>
      </c>
      <c r="G12">
        <v>1.3540000000000001</v>
      </c>
      <c r="L12">
        <v>1.5629999999999999</v>
      </c>
      <c r="Q12">
        <v>1.875</v>
      </c>
      <c r="V12">
        <v>2.2919999999999998</v>
      </c>
    </row>
    <row r="13" spans="1:32" x14ac:dyDescent="0.15">
      <c r="A13" s="197">
        <v>31</v>
      </c>
      <c r="F13">
        <v>1.3620000000000001</v>
      </c>
      <c r="K13">
        <v>1.6080000000000001</v>
      </c>
      <c r="P13">
        <v>1.948</v>
      </c>
      <c r="U13">
        <v>2.4060000000000001</v>
      </c>
    </row>
    <row r="14" spans="1:32" x14ac:dyDescent="0.15">
      <c r="A14" s="196">
        <v>32</v>
      </c>
      <c r="E14">
        <v>1.415</v>
      </c>
      <c r="J14">
        <v>1.657</v>
      </c>
      <c r="O14">
        <v>1.9930000000000001</v>
      </c>
      <c r="T14">
        <v>2.5139999999999998</v>
      </c>
    </row>
    <row r="15" spans="1:32" x14ac:dyDescent="0.15">
      <c r="A15" s="197">
        <v>33</v>
      </c>
      <c r="D15">
        <v>1.472</v>
      </c>
      <c r="I15">
        <v>1.7070000000000001</v>
      </c>
      <c r="N15">
        <v>2.0259999999999998</v>
      </c>
      <c r="S15">
        <v>2.6150000000000002</v>
      </c>
    </row>
    <row r="16" spans="1:32" x14ac:dyDescent="0.15">
      <c r="A16" s="196">
        <v>34</v>
      </c>
      <c r="C16">
        <v>1.514</v>
      </c>
      <c r="H16">
        <v>1.772</v>
      </c>
      <c r="M16">
        <v>2.113</v>
      </c>
      <c r="R16">
        <v>2.6989999999999998</v>
      </c>
    </row>
    <row r="17" spans="1:17" x14ac:dyDescent="0.15">
      <c r="A17" s="197">
        <v>35</v>
      </c>
      <c r="B17">
        <v>1.5629999999999999</v>
      </c>
      <c r="G17">
        <v>1.823</v>
      </c>
      <c r="L17">
        <v>2.1880000000000002</v>
      </c>
      <c r="Q17">
        <v>2.76</v>
      </c>
    </row>
    <row r="18" spans="1:17" x14ac:dyDescent="0.15">
      <c r="A18" s="196">
        <v>36</v>
      </c>
      <c r="F18">
        <v>1.9079999999999999</v>
      </c>
      <c r="K18">
        <v>2.3039999999999998</v>
      </c>
      <c r="P18">
        <v>2.891</v>
      </c>
    </row>
    <row r="19" spans="1:17" x14ac:dyDescent="0.15">
      <c r="A19" s="197">
        <v>37</v>
      </c>
      <c r="E19">
        <v>1.9770000000000001</v>
      </c>
      <c r="J19">
        <v>2.4039999999999999</v>
      </c>
      <c r="O19">
        <v>3.0259999999999998</v>
      </c>
    </row>
    <row r="20" spans="1:17" x14ac:dyDescent="0.15">
      <c r="A20" s="196">
        <v>38</v>
      </c>
      <c r="D20">
        <v>2.0230000000000001</v>
      </c>
      <c r="I20">
        <v>2.5019999999999998</v>
      </c>
      <c r="N20">
        <v>3.1589999999999998</v>
      </c>
    </row>
    <row r="21" spans="1:17" x14ac:dyDescent="0.15">
      <c r="A21" s="197">
        <v>39</v>
      </c>
      <c r="C21">
        <v>2.056</v>
      </c>
      <c r="H21">
        <v>2.5670000000000002</v>
      </c>
      <c r="M21">
        <v>3.2829999999999999</v>
      </c>
    </row>
    <row r="22" spans="1:17" x14ac:dyDescent="0.15">
      <c r="A22" s="196">
        <v>40</v>
      </c>
      <c r="B22">
        <v>2.1349999999999998</v>
      </c>
      <c r="G22">
        <v>2.6560000000000001</v>
      </c>
      <c r="L22">
        <v>3.3849999999999998</v>
      </c>
    </row>
    <row r="23" spans="1:17" x14ac:dyDescent="0.15">
      <c r="A23" s="197">
        <v>41</v>
      </c>
      <c r="F23">
        <v>2.802</v>
      </c>
      <c r="K23">
        <v>3.5529999999999999</v>
      </c>
    </row>
    <row r="24" spans="1:17" x14ac:dyDescent="0.15">
      <c r="A24" s="196">
        <v>42</v>
      </c>
      <c r="E24">
        <v>2.927</v>
      </c>
      <c r="J24">
        <v>3.7109999999999999</v>
      </c>
    </row>
    <row r="25" spans="1:17" x14ac:dyDescent="0.15">
      <c r="A25" s="197">
        <v>43</v>
      </c>
      <c r="D25">
        <v>3.052</v>
      </c>
      <c r="I25">
        <v>3.8559999999999999</v>
      </c>
    </row>
    <row r="26" spans="1:17" x14ac:dyDescent="0.15">
      <c r="A26" s="196">
        <v>44</v>
      </c>
      <c r="C26">
        <v>3.1360000000000001</v>
      </c>
      <c r="H26">
        <v>3.9889999999999999</v>
      </c>
    </row>
    <row r="27" spans="1:17" x14ac:dyDescent="0.15">
      <c r="A27" s="197">
        <v>45</v>
      </c>
      <c r="B27">
        <v>3.177</v>
      </c>
      <c r="G27">
        <v>4.1150000000000002</v>
      </c>
    </row>
    <row r="28" spans="1:17" x14ac:dyDescent="0.15">
      <c r="A28" s="196">
        <v>46</v>
      </c>
      <c r="F28">
        <v>4.3230000000000004</v>
      </c>
    </row>
    <row r="29" spans="1:17" x14ac:dyDescent="0.15">
      <c r="A29" s="197">
        <v>47</v>
      </c>
      <c r="E29">
        <v>4.548</v>
      </c>
    </row>
    <row r="30" spans="1:17" x14ac:dyDescent="0.15">
      <c r="A30" s="196">
        <v>48</v>
      </c>
      <c r="D30">
        <v>4.7880000000000003</v>
      </c>
    </row>
    <row r="31" spans="1:17" x14ac:dyDescent="0.15">
      <c r="A31" s="197">
        <v>49</v>
      </c>
      <c r="C31">
        <v>5.0330000000000004</v>
      </c>
    </row>
    <row r="32" spans="1:17" x14ac:dyDescent="0.15">
      <c r="A32" s="196">
        <v>50</v>
      </c>
      <c r="B32">
        <v>5.26</v>
      </c>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2"/>
  <sheetViews>
    <sheetView workbookViewId="0">
      <selection activeCell="O29" sqref="O29"/>
    </sheetView>
  </sheetViews>
  <sheetFormatPr baseColWidth="10" defaultColWidth="8.83203125" defaultRowHeight="13" x14ac:dyDescent="0.15"/>
  <cols>
    <col min="2" max="21" width="5.6640625" customWidth="1"/>
  </cols>
  <sheetData>
    <row r="1" spans="1:21" x14ac:dyDescent="0.15">
      <c r="B1" s="196">
        <v>11</v>
      </c>
      <c r="C1" s="196">
        <v>12</v>
      </c>
      <c r="D1" s="196">
        <v>13</v>
      </c>
      <c r="E1" s="196">
        <v>14</v>
      </c>
      <c r="F1" s="196">
        <v>16</v>
      </c>
      <c r="G1" s="196">
        <v>17</v>
      </c>
      <c r="H1" s="196">
        <v>19</v>
      </c>
      <c r="I1" s="196">
        <v>22</v>
      </c>
      <c r="J1" s="196">
        <v>23</v>
      </c>
      <c r="K1" s="196">
        <v>26</v>
      </c>
      <c r="L1" s="196">
        <v>28</v>
      </c>
      <c r="M1" s="196">
        <v>29</v>
      </c>
      <c r="N1" s="196">
        <v>31</v>
      </c>
      <c r="O1" s="196">
        <v>32</v>
      </c>
      <c r="P1" s="196">
        <v>33</v>
      </c>
      <c r="Q1" s="196">
        <v>34</v>
      </c>
      <c r="R1" s="196">
        <v>36</v>
      </c>
      <c r="S1" s="196">
        <v>37</v>
      </c>
      <c r="T1" s="196">
        <v>38</v>
      </c>
      <c r="U1" s="196">
        <v>39</v>
      </c>
    </row>
    <row r="2" spans="1:21" x14ac:dyDescent="0.15">
      <c r="A2" s="196">
        <v>20</v>
      </c>
    </row>
    <row r="3" spans="1:21" x14ac:dyDescent="0.15">
      <c r="A3" s="197">
        <v>21</v>
      </c>
      <c r="E3">
        <v>0.80100000000000005</v>
      </c>
      <c r="H3">
        <v>0.96399999999999997</v>
      </c>
      <c r="M3">
        <v>1.2090000000000001</v>
      </c>
      <c r="Q3">
        <v>1.456</v>
      </c>
      <c r="U3">
        <v>1.7669999999999999</v>
      </c>
    </row>
    <row r="4" spans="1:21" x14ac:dyDescent="0.15">
      <c r="A4" s="196">
        <v>22</v>
      </c>
      <c r="D4">
        <v>0.82299999999999995</v>
      </c>
      <c r="J4">
        <v>1.1060000000000001</v>
      </c>
      <c r="L4">
        <v>1.224</v>
      </c>
      <c r="P4">
        <v>1.4710000000000001</v>
      </c>
      <c r="T4">
        <v>1.84</v>
      </c>
    </row>
    <row r="5" spans="1:21" x14ac:dyDescent="0.15">
      <c r="A5" s="197">
        <v>23</v>
      </c>
      <c r="C5">
        <v>0.85099999999999998</v>
      </c>
      <c r="G5">
        <v>1.0109999999999999</v>
      </c>
      <c r="I5">
        <v>1.1339999999999999</v>
      </c>
      <c r="O5">
        <v>1.5329999999999999</v>
      </c>
      <c r="S5">
        <v>1.893</v>
      </c>
    </row>
    <row r="6" spans="1:21" x14ac:dyDescent="0.15">
      <c r="A6" s="196">
        <v>24</v>
      </c>
      <c r="B6">
        <v>0.88700000000000001</v>
      </c>
      <c r="F6">
        <v>1.03</v>
      </c>
      <c r="K6">
        <v>1.284</v>
      </c>
      <c r="N6">
        <v>1.5840000000000001</v>
      </c>
      <c r="R6">
        <v>1.9370000000000001</v>
      </c>
    </row>
    <row r="7" spans="1:21" x14ac:dyDescent="0.15">
      <c r="A7" s="197">
        <v>25</v>
      </c>
    </row>
    <row r="8" spans="1:21" x14ac:dyDescent="0.15">
      <c r="A8" s="196">
        <v>26</v>
      </c>
      <c r="E8">
        <v>1.0660000000000001</v>
      </c>
      <c r="H8">
        <v>1.2150000000000001</v>
      </c>
      <c r="M8">
        <v>1.6639999999999999</v>
      </c>
      <c r="Q8">
        <v>2.0510000000000002</v>
      </c>
    </row>
    <row r="9" spans="1:21" x14ac:dyDescent="0.15">
      <c r="A9" s="197">
        <v>27</v>
      </c>
      <c r="D9">
        <v>1.097</v>
      </c>
      <c r="J9">
        <v>1.448</v>
      </c>
      <c r="L9">
        <v>1.7350000000000001</v>
      </c>
      <c r="P9">
        <v>2.1139999999999999</v>
      </c>
    </row>
    <row r="10" spans="1:21" x14ac:dyDescent="0.15">
      <c r="A10" s="196">
        <v>28</v>
      </c>
      <c r="C10">
        <v>1.1240000000000001</v>
      </c>
      <c r="G10">
        <v>1.242</v>
      </c>
      <c r="I10">
        <v>1.4630000000000001</v>
      </c>
      <c r="O10">
        <v>2.17</v>
      </c>
    </row>
    <row r="11" spans="1:21" x14ac:dyDescent="0.15">
      <c r="A11" s="197">
        <v>29</v>
      </c>
      <c r="B11">
        <v>1.127</v>
      </c>
      <c r="F11">
        <v>1.284</v>
      </c>
      <c r="K11">
        <v>1.843</v>
      </c>
      <c r="N11">
        <v>2.2269999999999999</v>
      </c>
    </row>
    <row r="12" spans="1:21" x14ac:dyDescent="0.15">
      <c r="A12" s="196">
        <v>30</v>
      </c>
    </row>
    <row r="13" spans="1:21" x14ac:dyDescent="0.15">
      <c r="A13" s="197">
        <v>31</v>
      </c>
      <c r="E13">
        <v>1.3620000000000001</v>
      </c>
      <c r="H13">
        <v>1.6080000000000001</v>
      </c>
      <c r="M13">
        <v>2.4060000000000001</v>
      </c>
    </row>
    <row r="14" spans="1:21" x14ac:dyDescent="0.15">
      <c r="A14" s="196">
        <v>32</v>
      </c>
      <c r="D14">
        <v>1.415</v>
      </c>
      <c r="J14">
        <v>1.9930000000000001</v>
      </c>
      <c r="L14">
        <v>2.5139999999999998</v>
      </c>
    </row>
    <row r="15" spans="1:21" x14ac:dyDescent="0.15">
      <c r="A15" s="197">
        <v>33</v>
      </c>
      <c r="C15">
        <v>1.472</v>
      </c>
      <c r="G15">
        <v>1.7070000000000001</v>
      </c>
      <c r="I15">
        <v>2.0259999999999998</v>
      </c>
    </row>
    <row r="16" spans="1:21" x14ac:dyDescent="0.15">
      <c r="A16" s="196">
        <v>34</v>
      </c>
      <c r="B16">
        <v>1.514</v>
      </c>
      <c r="F16">
        <v>1.772</v>
      </c>
      <c r="K16">
        <v>2.6989999999999998</v>
      </c>
    </row>
    <row r="17" spans="1:10" x14ac:dyDescent="0.15">
      <c r="A17" s="197">
        <v>35</v>
      </c>
    </row>
    <row r="18" spans="1:10" x14ac:dyDescent="0.15">
      <c r="A18" s="196">
        <v>36</v>
      </c>
      <c r="E18">
        <v>1.9079999999999999</v>
      </c>
      <c r="H18">
        <v>2.3039999999999998</v>
      </c>
    </row>
    <row r="19" spans="1:10" x14ac:dyDescent="0.15">
      <c r="A19" s="197">
        <v>37</v>
      </c>
      <c r="D19">
        <v>1.9770000000000001</v>
      </c>
      <c r="J19">
        <v>3.0259999999999998</v>
      </c>
    </row>
    <row r="20" spans="1:10" x14ac:dyDescent="0.15">
      <c r="A20" s="196">
        <v>38</v>
      </c>
      <c r="C20">
        <v>2.0230000000000001</v>
      </c>
      <c r="G20">
        <v>2.5019999999999998</v>
      </c>
      <c r="I20">
        <v>3.1589999999999998</v>
      </c>
    </row>
    <row r="21" spans="1:10" x14ac:dyDescent="0.15">
      <c r="A21" s="197">
        <v>39</v>
      </c>
      <c r="B21">
        <v>2.056</v>
      </c>
      <c r="F21">
        <v>2.5670000000000002</v>
      </c>
    </row>
    <row r="22" spans="1:10" x14ac:dyDescent="0.15">
      <c r="A22" s="196">
        <v>40</v>
      </c>
    </row>
    <row r="23" spans="1:10" x14ac:dyDescent="0.15">
      <c r="A23" s="197">
        <v>41</v>
      </c>
      <c r="E23">
        <v>2.802</v>
      </c>
      <c r="H23">
        <v>3.5529999999999999</v>
      </c>
    </row>
    <row r="24" spans="1:10" x14ac:dyDescent="0.15">
      <c r="A24" s="196">
        <v>42</v>
      </c>
      <c r="D24">
        <v>2.927</v>
      </c>
    </row>
    <row r="25" spans="1:10" x14ac:dyDescent="0.15">
      <c r="A25" s="197">
        <v>43</v>
      </c>
      <c r="C25">
        <v>3.052</v>
      </c>
      <c r="G25">
        <v>3.8559999999999999</v>
      </c>
    </row>
    <row r="26" spans="1:10" x14ac:dyDescent="0.15">
      <c r="A26" s="196">
        <v>44</v>
      </c>
      <c r="B26">
        <v>3.1360000000000001</v>
      </c>
      <c r="F26">
        <v>3.9889999999999999</v>
      </c>
    </row>
    <row r="27" spans="1:10" x14ac:dyDescent="0.15">
      <c r="A27" s="197">
        <v>45</v>
      </c>
    </row>
    <row r="28" spans="1:10" x14ac:dyDescent="0.15">
      <c r="A28" s="196">
        <v>46</v>
      </c>
      <c r="E28">
        <v>4.3230000000000004</v>
      </c>
    </row>
    <row r="29" spans="1:10" x14ac:dyDescent="0.15">
      <c r="A29" s="197">
        <v>47</v>
      </c>
      <c r="D29">
        <v>4.548</v>
      </c>
    </row>
    <row r="30" spans="1:10" x14ac:dyDescent="0.15">
      <c r="A30" s="196">
        <v>48</v>
      </c>
      <c r="C30">
        <v>4.7880000000000003</v>
      </c>
    </row>
    <row r="31" spans="1:10" x14ac:dyDescent="0.15">
      <c r="A31" s="197">
        <v>49</v>
      </c>
      <c r="B31">
        <v>5.0330000000000004</v>
      </c>
    </row>
    <row r="32" spans="1:10" x14ac:dyDescent="0.15">
      <c r="A32" s="196">
        <v>50</v>
      </c>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6:H19"/>
  <sheetViews>
    <sheetView workbookViewId="0">
      <selection activeCell="H20" sqref="H20"/>
    </sheetView>
  </sheetViews>
  <sheetFormatPr baseColWidth="10" defaultColWidth="8.83203125" defaultRowHeight="13" x14ac:dyDescent="0.15"/>
  <sheetData>
    <row r="6" spans="1:1" x14ac:dyDescent="0.15">
      <c r="A6" s="11"/>
    </row>
    <row r="17" spans="8:8" x14ac:dyDescent="0.15">
      <c r="H17">
        <f>730200+145500+52125</f>
        <v>927825</v>
      </c>
    </row>
    <row r="18" spans="8:8" x14ac:dyDescent="0.15">
      <c r="H18">
        <f>1940*75</f>
        <v>145500</v>
      </c>
    </row>
    <row r="19" spans="8:8" x14ac:dyDescent="0.15">
      <c r="H19">
        <f>695*75</f>
        <v>52125</v>
      </c>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8.83203125" defaultRowHeight="13" x14ac:dyDescent="0.15"/>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F21" sqref="F21"/>
    </sheetView>
  </sheetViews>
  <sheetFormatPr baseColWidth="10" defaultColWidth="8.83203125" defaultRowHeight="13" x14ac:dyDescent="0.15"/>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J17" sqref="J17"/>
    </sheetView>
  </sheetViews>
  <sheetFormatPr baseColWidth="10" defaultColWidth="8.83203125" defaultRowHeight="13" x14ac:dyDescent="0.15"/>
  <sheetData/>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3" x14ac:dyDescent="0.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N26"/>
  <sheetViews>
    <sheetView workbookViewId="0"/>
  </sheetViews>
  <sheetFormatPr baseColWidth="10" defaultColWidth="8.83203125" defaultRowHeight="13" x14ac:dyDescent="0.15"/>
  <cols>
    <col min="1" max="1" width="8.83203125" style="33"/>
    <col min="2" max="2" width="12.6640625" style="33" customWidth="1"/>
    <col min="3" max="4" width="8.83203125" style="33"/>
    <col min="5" max="5" width="16.6640625" style="33" customWidth="1"/>
    <col min="6" max="6" width="7.1640625" style="33" customWidth="1"/>
    <col min="7" max="7" width="7.83203125" style="33" customWidth="1"/>
    <col min="8" max="8" width="6.1640625" style="33" customWidth="1"/>
    <col min="9" max="9" width="8.5" style="33" customWidth="1"/>
    <col min="10" max="10" width="8" style="33" customWidth="1"/>
    <col min="11" max="11" width="31.83203125" style="33" customWidth="1"/>
    <col min="12" max="12" width="34.83203125" style="33" hidden="1" customWidth="1"/>
    <col min="13" max="14" width="30.5" style="33" hidden="1" customWidth="1"/>
    <col min="15" max="16384" width="8.83203125" style="33"/>
  </cols>
  <sheetData>
    <row r="2" spans="2:14" ht="28" x14ac:dyDescent="0.3">
      <c r="B2" s="437" t="s">
        <v>575</v>
      </c>
      <c r="C2" s="437"/>
      <c r="D2" s="437"/>
      <c r="E2" s="437"/>
      <c r="F2" s="437"/>
      <c r="G2" s="437"/>
      <c r="H2" s="437"/>
      <c r="I2" s="437"/>
      <c r="J2" s="437"/>
      <c r="K2" s="437"/>
    </row>
    <row r="3" spans="2:14" ht="14" thickBot="1" x14ac:dyDescent="0.2">
      <c r="B3" s="256"/>
      <c r="C3" s="256"/>
      <c r="D3" s="256"/>
      <c r="E3" s="256"/>
      <c r="F3" s="256"/>
      <c r="G3" s="256"/>
      <c r="H3" s="256"/>
      <c r="I3" s="256"/>
      <c r="J3" s="256"/>
      <c r="K3" s="256"/>
    </row>
    <row r="4" spans="2:14" ht="20" thickTop="1" thickBot="1" x14ac:dyDescent="0.25">
      <c r="B4" s="295" t="s">
        <v>576</v>
      </c>
      <c r="C4" s="438"/>
      <c r="D4" s="439"/>
      <c r="E4" s="439"/>
      <c r="F4" s="439"/>
      <c r="G4" s="439"/>
      <c r="H4" s="439"/>
      <c r="I4" s="439"/>
      <c r="J4" s="439"/>
      <c r="K4" s="440"/>
    </row>
    <row r="5" spans="2:14" ht="24" thickTop="1" x14ac:dyDescent="0.25">
      <c r="B5" s="360" t="s">
        <v>572</v>
      </c>
      <c r="C5" s="256"/>
      <c r="D5" s="256"/>
      <c r="E5" s="256"/>
      <c r="F5" s="361">
        <f>APCS!G6</f>
        <v>24</v>
      </c>
      <c r="G5" s="256"/>
      <c r="H5" s="256"/>
      <c r="I5" s="256"/>
      <c r="J5" s="256"/>
      <c r="K5" s="256"/>
    </row>
    <row r="6" spans="2:14" ht="25" x14ac:dyDescent="0.25">
      <c r="B6" s="295" t="s">
        <v>568</v>
      </c>
      <c r="C6" s="362"/>
      <c r="D6" s="362"/>
      <c r="E6" s="362"/>
      <c r="F6" s="363">
        <f>APCS!G5</f>
        <v>3</v>
      </c>
      <c r="G6" s="362"/>
      <c r="H6" s="356"/>
      <c r="I6" s="362"/>
      <c r="J6" s="362"/>
      <c r="K6" s="362"/>
    </row>
    <row r="7" spans="2:14" ht="18" x14ac:dyDescent="0.2">
      <c r="B7" s="360" t="s">
        <v>569</v>
      </c>
      <c r="C7" s="256"/>
      <c r="D7" s="256"/>
      <c r="E7" s="360" t="str">
        <f>APCS!C3</f>
        <v>Endowment Assurance</v>
      </c>
      <c r="F7" s="256"/>
      <c r="G7" s="256"/>
      <c r="H7" s="256"/>
      <c r="I7" s="256"/>
      <c r="J7" s="256"/>
      <c r="K7" s="256"/>
    </row>
    <row r="8" spans="2:14" ht="18" x14ac:dyDescent="0.2">
      <c r="B8" s="295" t="s">
        <v>570</v>
      </c>
      <c r="C8" s="362"/>
      <c r="D8" s="362"/>
      <c r="E8" s="362"/>
      <c r="F8" s="295" t="str">
        <f>IF(APCS!G13="y","AIB",IF(APCS!G14="y","ADB",""))</f>
        <v>ADB</v>
      </c>
      <c r="G8" s="295" t="str">
        <f>IF(APCS!G10="y","FIB","")</f>
        <v/>
      </c>
      <c r="H8" s="295" t="str">
        <f>IF(APCS!G16="y","ND","")</f>
        <v/>
      </c>
      <c r="I8" s="295" t="str">
        <f>IF(APCS!G17="y","RPR","")</f>
        <v/>
      </c>
      <c r="J8" s="295" t="str">
        <f>IF(APCS!G12="y","SWP",IF(APCS!G15="y","WP",""))</f>
        <v/>
      </c>
      <c r="K8" s="295" t="str">
        <f>IF(APCS!G11="y","TIR","")</f>
        <v/>
      </c>
    </row>
    <row r="9" spans="2:14" ht="18" x14ac:dyDescent="0.2">
      <c r="B9" s="295"/>
      <c r="C9" s="362"/>
      <c r="D9" s="362"/>
      <c r="E9" s="362"/>
      <c r="F9" s="295"/>
      <c r="G9" s="295"/>
      <c r="H9" s="295"/>
      <c r="I9" s="295"/>
      <c r="J9" s="295"/>
      <c r="K9" s="295"/>
    </row>
    <row r="10" spans="2:14" ht="25" x14ac:dyDescent="0.25">
      <c r="B10" s="360" t="s">
        <v>309</v>
      </c>
      <c r="C10" s="256"/>
      <c r="D10" s="256"/>
      <c r="E10" s="256"/>
      <c r="F10" s="256"/>
      <c r="G10" s="256"/>
      <c r="H10" s="256"/>
      <c r="I10" s="256"/>
      <c r="J10" s="364"/>
      <c r="K10" s="365">
        <f>APCS!G4</f>
        <v>1000000</v>
      </c>
    </row>
    <row r="11" spans="2:14" ht="25" x14ac:dyDescent="0.25">
      <c r="B11" s="295" t="s">
        <v>267</v>
      </c>
      <c r="C11" s="362"/>
      <c r="D11" s="362"/>
      <c r="E11" s="362"/>
      <c r="F11" s="362"/>
      <c r="G11" s="362"/>
      <c r="H11" s="362"/>
      <c r="I11" s="362"/>
      <c r="J11" s="366"/>
      <c r="K11" s="367">
        <f>APCS!J5</f>
        <v>48780</v>
      </c>
    </row>
    <row r="12" spans="2:14" ht="25" x14ac:dyDescent="0.25">
      <c r="B12" s="360" t="s">
        <v>528</v>
      </c>
      <c r="C12" s="256"/>
      <c r="D12" s="256"/>
      <c r="E12" s="256"/>
      <c r="F12" s="256"/>
      <c r="G12" s="256"/>
      <c r="H12" s="256"/>
      <c r="I12" s="256"/>
      <c r="J12" s="364"/>
      <c r="K12" s="365">
        <f>APCS!E19</f>
        <v>3269000</v>
      </c>
    </row>
    <row r="13" spans="2:14" ht="25" x14ac:dyDescent="0.25">
      <c r="B13" s="295" t="s">
        <v>566</v>
      </c>
      <c r="C13" s="362"/>
      <c r="D13" s="362"/>
      <c r="E13" s="362"/>
      <c r="F13" s="362"/>
      <c r="G13" s="362"/>
      <c r="H13" s="362"/>
      <c r="I13" s="362"/>
      <c r="J13" s="366"/>
      <c r="K13" s="367">
        <f>APCS!J19</f>
        <v>975600</v>
      </c>
    </row>
    <row r="14" spans="2:14" ht="25" x14ac:dyDescent="0.25">
      <c r="B14" s="360"/>
      <c r="C14" s="256"/>
      <c r="D14" s="256"/>
      <c r="E14" s="256"/>
      <c r="F14" s="256"/>
      <c r="G14" s="256"/>
      <c r="H14" s="256"/>
      <c r="I14" s="256"/>
      <c r="J14" s="256"/>
      <c r="K14" s="368"/>
    </row>
    <row r="15" spans="2:14" ht="25" x14ac:dyDescent="0.25">
      <c r="B15" s="319" t="s">
        <v>571</v>
      </c>
      <c r="C15" s="369"/>
      <c r="D15" s="369"/>
      <c r="E15" s="362"/>
      <c r="F15" s="362"/>
      <c r="G15" s="362"/>
      <c r="H15" s="362"/>
      <c r="I15" s="362"/>
      <c r="J15" s="362"/>
      <c r="K15" s="370"/>
    </row>
    <row r="16" spans="2:14" ht="25" x14ac:dyDescent="0.25">
      <c r="B16" s="360" t="s">
        <v>573</v>
      </c>
      <c r="C16" s="256"/>
      <c r="D16" s="256"/>
      <c r="E16" s="354"/>
      <c r="F16" s="354"/>
      <c r="G16" s="354"/>
      <c r="H16" s="354"/>
      <c r="I16" s="354"/>
      <c r="J16" s="364"/>
      <c r="K16" s="365">
        <f>IF(K8="TIR",K10+N16,K10)</f>
        <v>1000000</v>
      </c>
      <c r="L16" s="371">
        <f>APCS!D11</f>
        <v>1</v>
      </c>
      <c r="M16" s="365">
        <f>K10</f>
        <v>1000000</v>
      </c>
      <c r="N16" s="365">
        <f>L16*M16</f>
        <v>1000000</v>
      </c>
    </row>
    <row r="17" spans="2:12" ht="25" x14ac:dyDescent="0.25">
      <c r="B17" s="295" t="str">
        <f>IF(OR(F8="AIB",F8="ADB"),"On Accidental Death *","")</f>
        <v>On Accidental Death *</v>
      </c>
      <c r="C17" s="362"/>
      <c r="D17" s="362"/>
      <c r="E17" s="362"/>
      <c r="F17" s="362"/>
      <c r="G17" s="362"/>
      <c r="H17" s="362"/>
      <c r="I17" s="362"/>
      <c r="J17" s="366"/>
      <c r="K17" s="367">
        <f>IF(OR(F8="AIB",F8="ADB"),L19+K16,"")</f>
        <v>2000000</v>
      </c>
    </row>
    <row r="18" spans="2:12" ht="25" x14ac:dyDescent="0.25">
      <c r="B18" s="360" t="s">
        <v>574</v>
      </c>
      <c r="C18" s="256"/>
      <c r="D18" s="256"/>
      <c r="E18" s="256"/>
      <c r="F18" s="256"/>
      <c r="G18" s="256"/>
      <c r="H18" s="256"/>
      <c r="I18" s="256"/>
      <c r="J18" s="256"/>
      <c r="K18" s="365"/>
    </row>
    <row r="19" spans="2:12" ht="25" x14ac:dyDescent="0.25">
      <c r="B19" s="372" t="str">
        <f>IF(F8="AIB","Due to Accident if:","")</f>
        <v/>
      </c>
      <c r="C19" s="373"/>
      <c r="D19" s="373"/>
      <c r="E19" s="362"/>
      <c r="F19" s="362"/>
      <c r="G19" s="362"/>
      <c r="H19" s="362"/>
      <c r="I19" s="362"/>
      <c r="J19" s="362"/>
      <c r="K19" s="367"/>
      <c r="L19" s="365">
        <f>IF(K10&gt;=10000000,10000000,K10)</f>
        <v>1000000</v>
      </c>
    </row>
    <row r="20" spans="2:12" ht="25" x14ac:dyDescent="0.25">
      <c r="B20" s="360" t="str">
        <f>IF(F8="AIB","In Case of Any Injury per week payment","")</f>
        <v/>
      </c>
      <c r="C20" s="256"/>
      <c r="D20" s="256"/>
      <c r="E20" s="256"/>
      <c r="F20" s="256"/>
      <c r="G20" s="256"/>
      <c r="H20" s="256"/>
      <c r="I20" s="256"/>
      <c r="J20" s="364"/>
      <c r="K20" s="365" t="str">
        <f>IF(F8="AIB",L20,"")</f>
        <v/>
      </c>
      <c r="L20" s="365">
        <f>L19*5/1000</f>
        <v>5000</v>
      </c>
    </row>
    <row r="21" spans="2:12" ht="25" x14ac:dyDescent="0.25">
      <c r="B21" s="295" t="str">
        <f>IF(F8="AIB","On loss of Thumb &amp; Fingure","")</f>
        <v/>
      </c>
      <c r="C21" s="362"/>
      <c r="D21" s="362"/>
      <c r="E21" s="362"/>
      <c r="F21" s="362"/>
      <c r="G21" s="362"/>
      <c r="H21" s="362"/>
      <c r="I21" s="362"/>
      <c r="J21" s="366"/>
      <c r="K21" s="367" t="str">
        <f>IF(F8="AIB",L21,"")</f>
        <v/>
      </c>
      <c r="L21" s="367">
        <f>L19/4</f>
        <v>250000</v>
      </c>
    </row>
    <row r="22" spans="2:12" ht="25" x14ac:dyDescent="0.25">
      <c r="B22" s="360" t="str">
        <f>IF(F8="AIB","On  loss of One Limb","")</f>
        <v/>
      </c>
      <c r="C22" s="256"/>
      <c r="D22" s="256"/>
      <c r="E22" s="256"/>
      <c r="F22" s="256"/>
      <c r="G22" s="256"/>
      <c r="H22" s="256"/>
      <c r="I22" s="256"/>
      <c r="J22" s="364"/>
      <c r="K22" s="365" t="str">
        <f>IF(F8="AIB",L22,"")</f>
        <v/>
      </c>
      <c r="L22" s="365">
        <f>L19/2</f>
        <v>500000</v>
      </c>
    </row>
    <row r="23" spans="2:12" ht="25" x14ac:dyDescent="0.25">
      <c r="B23" s="295" t="str">
        <f>IF(F8="AIB","On Loss of Two or more Limbs","")</f>
        <v/>
      </c>
      <c r="C23" s="362"/>
      <c r="D23" s="362"/>
      <c r="E23" s="362"/>
      <c r="F23" s="362"/>
      <c r="G23" s="362"/>
      <c r="H23" s="362"/>
      <c r="I23" s="362"/>
      <c r="J23" s="366"/>
      <c r="K23" s="367" t="str">
        <f>IF(F8="AIB",L23,"")</f>
        <v/>
      </c>
      <c r="L23" s="367">
        <f>L19</f>
        <v>1000000</v>
      </c>
    </row>
    <row r="24" spans="2:12" ht="25" x14ac:dyDescent="0.25">
      <c r="B24" s="360" t="str">
        <f>IF(F8="AIB","and Premium will be waived","")</f>
        <v/>
      </c>
      <c r="C24" s="256"/>
      <c r="D24" s="256"/>
      <c r="E24" s="256"/>
      <c r="F24" s="256"/>
      <c r="G24" s="256"/>
      <c r="H24" s="256"/>
      <c r="I24" s="256"/>
      <c r="J24" s="256"/>
      <c r="K24" s="365"/>
      <c r="L24" s="365"/>
    </row>
    <row r="25" spans="2:12" ht="25" x14ac:dyDescent="0.25">
      <c r="B25" s="295" t="str">
        <f>IF(G8="FIB","Annual Family Income after","")</f>
        <v/>
      </c>
      <c r="C25" s="362"/>
      <c r="D25" s="362"/>
      <c r="E25" s="362"/>
      <c r="F25" s="362"/>
      <c r="G25" s="362"/>
      <c r="H25" s="362"/>
      <c r="I25" s="362"/>
      <c r="J25" s="366"/>
      <c r="K25" s="367" t="str">
        <f>IF(G8="FIB",L25,"")</f>
        <v/>
      </c>
      <c r="L25" s="367">
        <f>APCS!F166</f>
        <v>120000</v>
      </c>
    </row>
    <row r="26" spans="2:12" ht="25" x14ac:dyDescent="0.25">
      <c r="B26" s="360" t="str">
        <f>IF(G8="FIB","death till policy term","")</f>
        <v/>
      </c>
      <c r="C26" s="256"/>
      <c r="D26" s="256"/>
      <c r="E26" s="256"/>
      <c r="F26" s="256"/>
      <c r="G26" s="256"/>
      <c r="H26" s="256"/>
      <c r="I26" s="256"/>
      <c r="J26" s="256"/>
      <c r="K26" s="374"/>
    </row>
  </sheetData>
  <sheetProtection password="D04A" sheet="1" objects="1" scenarios="1"/>
  <mergeCells count="2">
    <mergeCell ref="B2:K2"/>
    <mergeCell ref="C4:K4"/>
  </mergeCells>
  <pageMargins left="0.41" right="0.28999999999999998" top="0.75" bottom="0.75" header="0.3" footer="0.3"/>
  <pageSetup paperSize="9" scale="84" orientation="portrait" blackAndWhite="1"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1"/>
  <sheetViews>
    <sheetView workbookViewId="0">
      <selection activeCell="C23" sqref="C23"/>
    </sheetView>
  </sheetViews>
  <sheetFormatPr baseColWidth="10" defaultColWidth="8.83203125" defaultRowHeight="13" x14ac:dyDescent="0.15"/>
  <cols>
    <col min="1" max="1" width="13.33203125" style="11" customWidth="1"/>
    <col min="2" max="2" width="4.1640625" style="11" customWidth="1"/>
    <col min="3" max="3" width="22.5" style="11" customWidth="1"/>
    <col min="4" max="4" width="13" style="11" customWidth="1"/>
    <col min="5" max="5" width="10.1640625" style="11" customWidth="1"/>
    <col min="6" max="6" width="7.5" style="11" customWidth="1"/>
    <col min="7" max="7" width="21.83203125" style="11" customWidth="1"/>
    <col min="8" max="8" width="2.5" style="11" customWidth="1"/>
    <col min="9" max="9" width="19.83203125" style="11" customWidth="1"/>
    <col min="10" max="10" width="30.5" style="11" customWidth="1"/>
    <col min="11" max="11" width="3.33203125" style="11" customWidth="1"/>
    <col min="12" max="16384" width="8.83203125" style="11"/>
  </cols>
  <sheetData>
    <row r="1" spans="2:28" ht="14" thickBot="1" x14ac:dyDescent="0.2"/>
    <row r="2" spans="2:28" x14ac:dyDescent="0.15">
      <c r="B2" s="154"/>
      <c r="C2" s="155"/>
      <c r="D2" s="155"/>
      <c r="E2" s="155"/>
      <c r="F2" s="155"/>
      <c r="G2" s="155"/>
      <c r="H2" s="155"/>
      <c r="I2" s="155"/>
      <c r="J2" s="155"/>
      <c r="K2" s="156"/>
    </row>
    <row r="3" spans="2:28" ht="29" thickBot="1" x14ac:dyDescent="0.35">
      <c r="B3" s="141"/>
      <c r="C3" s="402" t="str">
        <f>B175</f>
        <v>Jeevan Sathi Plan</v>
      </c>
      <c r="D3" s="402"/>
      <c r="E3" s="402"/>
      <c r="F3" s="402"/>
      <c r="G3" s="402"/>
      <c r="H3" s="402"/>
      <c r="I3" s="402"/>
      <c r="J3" s="402"/>
      <c r="K3" s="142"/>
    </row>
    <row r="4" spans="2:28" ht="17" thickBot="1" x14ac:dyDescent="0.25">
      <c r="B4" s="161"/>
      <c r="C4" s="143" t="s">
        <v>265</v>
      </c>
      <c r="D4" s="143"/>
      <c r="E4" s="145"/>
      <c r="F4" s="145"/>
      <c r="G4" s="162">
        <v>7000000</v>
      </c>
      <c r="H4" s="163"/>
      <c r="I4" s="401" t="s">
        <v>266</v>
      </c>
      <c r="J4" s="401"/>
      <c r="K4" s="164"/>
      <c r="U4" s="12"/>
      <c r="V4" s="12"/>
      <c r="W4" s="12"/>
      <c r="X4" s="12"/>
      <c r="Y4" s="12"/>
      <c r="Z4" s="12"/>
      <c r="AA4" s="12"/>
      <c r="AB4" s="12"/>
    </row>
    <row r="5" spans="2:28" ht="17" thickBot="1" x14ac:dyDescent="0.25">
      <c r="B5" s="161"/>
      <c r="C5" s="147" t="s">
        <v>177</v>
      </c>
      <c r="D5" s="147"/>
      <c r="E5" s="148"/>
      <c r="F5" s="148"/>
      <c r="G5" s="165">
        <v>19</v>
      </c>
      <c r="H5" s="163"/>
      <c r="I5" s="147" t="s">
        <v>267</v>
      </c>
      <c r="J5" s="166">
        <f>D121</f>
        <v>371800</v>
      </c>
      <c r="K5" s="164"/>
      <c r="U5" s="12"/>
      <c r="V5" s="12"/>
      <c r="W5" s="12"/>
      <c r="X5" s="12"/>
      <c r="Y5" s="12"/>
      <c r="Z5" s="12"/>
      <c r="AA5" s="12"/>
      <c r="AB5" s="12"/>
    </row>
    <row r="6" spans="2:28" ht="17" thickBot="1" x14ac:dyDescent="0.25">
      <c r="B6" s="161"/>
      <c r="C6" s="143" t="s">
        <v>0</v>
      </c>
      <c r="D6" s="143"/>
      <c r="E6" s="145"/>
      <c r="F6" s="145"/>
      <c r="G6" s="167">
        <v>20</v>
      </c>
      <c r="H6" s="163"/>
      <c r="I6" s="143" t="s">
        <v>231</v>
      </c>
      <c r="J6" s="146">
        <f>J5*0.52</f>
        <v>193336</v>
      </c>
      <c r="K6" s="164"/>
      <c r="U6" s="12"/>
      <c r="V6" s="12"/>
      <c r="W6" s="12"/>
      <c r="X6" s="12"/>
      <c r="Y6" s="12"/>
      <c r="Z6" s="12"/>
      <c r="AA6" s="12"/>
      <c r="AB6" s="12"/>
    </row>
    <row r="7" spans="2:28" ht="17" thickBot="1" x14ac:dyDescent="0.25">
      <c r="B7" s="161"/>
      <c r="C7" s="147" t="str">
        <f>IF(OR(G5=7,G5=75,G5=76),"Age of Child",IF(G5=19,"2nd Age",""))</f>
        <v>2nd Age</v>
      </c>
      <c r="D7" s="147"/>
      <c r="E7" s="148"/>
      <c r="F7" s="148"/>
      <c r="G7" s="165">
        <v>10</v>
      </c>
      <c r="H7" s="163"/>
      <c r="I7" s="147" t="s">
        <v>232</v>
      </c>
      <c r="J7" s="166">
        <f>J5*0.27</f>
        <v>100386</v>
      </c>
      <c r="K7" s="164"/>
      <c r="U7" s="12"/>
      <c r="V7" s="12"/>
      <c r="W7" s="12"/>
      <c r="X7" s="12"/>
      <c r="Y7" s="12"/>
      <c r="Z7" s="12"/>
      <c r="AA7" s="12"/>
      <c r="AB7" s="12"/>
    </row>
    <row r="8" spans="2:28" ht="17" thickBot="1" x14ac:dyDescent="0.25">
      <c r="B8" s="161"/>
      <c r="C8" s="143" t="str">
        <f>IF(G5=1,"",IF(OR(G5=75,G5=76),F166,"Term of Policy"))</f>
        <v>Term of Policy</v>
      </c>
      <c r="D8" s="143"/>
      <c r="E8" s="145"/>
      <c r="F8" s="145"/>
      <c r="G8" s="167">
        <v>20</v>
      </c>
      <c r="H8" s="163"/>
      <c r="I8" s="143" t="s">
        <v>236</v>
      </c>
      <c r="J8" s="146">
        <f>IF(G4&gt;=300000,(G4*E28/1000)-(G4*0.5/1000)+G190,(G4*E28/1000)+G190)</f>
        <v>363050</v>
      </c>
      <c r="K8" s="164"/>
      <c r="U8" s="12"/>
      <c r="V8" s="12"/>
      <c r="W8" s="12"/>
      <c r="X8" s="12"/>
      <c r="Y8" s="12"/>
      <c r="Z8" s="12"/>
      <c r="AA8" s="12"/>
      <c r="AB8" s="12"/>
    </row>
    <row r="9" spans="2:28" ht="17" thickBot="1" x14ac:dyDescent="0.25">
      <c r="B9" s="161"/>
      <c r="C9" s="168" t="s">
        <v>287</v>
      </c>
      <c r="D9" s="169" t="s">
        <v>367</v>
      </c>
      <c r="E9" s="169" t="s">
        <v>251</v>
      </c>
      <c r="F9" s="169" t="s">
        <v>272</v>
      </c>
      <c r="G9" s="169" t="s">
        <v>273</v>
      </c>
      <c r="H9" s="168"/>
      <c r="I9" s="168"/>
      <c r="J9" s="170"/>
      <c r="K9" s="164"/>
      <c r="U9" s="12"/>
      <c r="V9" s="12"/>
      <c r="W9" s="12"/>
      <c r="X9" s="12"/>
      <c r="Y9" s="12"/>
      <c r="Z9" s="12"/>
      <c r="AA9" s="12"/>
      <c r="AB9" s="12"/>
    </row>
    <row r="10" spans="2:28" ht="17" thickBot="1" x14ac:dyDescent="0.25">
      <c r="B10" s="161"/>
      <c r="C10" s="143" t="str">
        <f>IF(G16="y","","FIB in %")</f>
        <v>FIB in %</v>
      </c>
      <c r="D10" s="171">
        <v>10</v>
      </c>
      <c r="E10" s="172">
        <f>IF(AND(D10&gt;=10,D10&lt;=50),D10/10*C222,"0")</f>
        <v>0</v>
      </c>
      <c r="F10" s="171">
        <v>20</v>
      </c>
      <c r="G10" s="171"/>
      <c r="H10" s="163"/>
      <c r="I10" s="143" t="s">
        <v>226</v>
      </c>
      <c r="J10" s="173" t="str">
        <f>F130</f>
        <v>0</v>
      </c>
      <c r="K10" s="164"/>
      <c r="U10" s="12"/>
      <c r="V10" s="12"/>
      <c r="W10" s="12"/>
      <c r="X10" s="12"/>
      <c r="Y10" s="12"/>
      <c r="Z10" s="12"/>
      <c r="AA10" s="12"/>
      <c r="AB10" s="12"/>
    </row>
    <row r="11" spans="2:28" ht="17" thickBot="1" x14ac:dyDescent="0.25">
      <c r="B11" s="161"/>
      <c r="C11" s="147" t="str">
        <f>IF(G16="y","","TIR in Times")</f>
        <v>TIR in Times</v>
      </c>
      <c r="D11" s="149">
        <v>1</v>
      </c>
      <c r="E11" s="150">
        <f>C224*D11</f>
        <v>0</v>
      </c>
      <c r="F11" s="151">
        <v>20</v>
      </c>
      <c r="G11" s="174"/>
      <c r="H11" s="163"/>
      <c r="I11" s="147" t="s">
        <v>227</v>
      </c>
      <c r="J11" s="175" t="str">
        <f>F131</f>
        <v>0</v>
      </c>
      <c r="K11" s="164"/>
      <c r="U11" s="12"/>
      <c r="V11" s="12"/>
      <c r="W11" s="12"/>
      <c r="X11" s="12"/>
      <c r="Y11" s="12"/>
      <c r="Z11" s="12"/>
      <c r="AA11" s="12"/>
      <c r="AB11" s="12"/>
    </row>
    <row r="12" spans="2:28" ht="17" thickBot="1" x14ac:dyDescent="0.25">
      <c r="B12" s="161"/>
      <c r="C12" s="143" t="str">
        <f>IF(G16="y","","SWP")</f>
        <v>SWP</v>
      </c>
      <c r="D12" s="143"/>
      <c r="E12" s="176" t="str">
        <f>C226</f>
        <v>0</v>
      </c>
      <c r="F12" s="177">
        <v>24</v>
      </c>
      <c r="G12" s="171"/>
      <c r="H12" s="163"/>
      <c r="I12" s="143" t="s">
        <v>228</v>
      </c>
      <c r="J12" s="172" t="str">
        <f>IF(AND(G12="y",G16=""),E12*J8/100,IF(AND(G12="",G16="y"),"0","0"))</f>
        <v>0</v>
      </c>
      <c r="K12" s="164"/>
      <c r="P12" s="17"/>
      <c r="U12" s="12"/>
      <c r="V12" s="12"/>
      <c r="W12" s="12"/>
      <c r="X12" s="12"/>
      <c r="Y12" s="12"/>
      <c r="Z12" s="12"/>
      <c r="AA12" s="12"/>
      <c r="AB12" s="12"/>
    </row>
    <row r="13" spans="2:28" ht="17" thickBot="1" x14ac:dyDescent="0.25">
      <c r="B13" s="161"/>
      <c r="C13" s="147" t="str">
        <f>IF(OR(G14="y",G16="y"),"","AIB")</f>
        <v/>
      </c>
      <c r="D13" s="147"/>
      <c r="E13" s="152">
        <v>500</v>
      </c>
      <c r="F13" s="153"/>
      <c r="G13" s="174"/>
      <c r="H13" s="163"/>
      <c r="I13" s="147" t="s">
        <v>234</v>
      </c>
      <c r="J13" s="150" t="str">
        <f>IF(AND(G14="",G13="y",G16=""),C100*E13/1000,IF(AND(G14="",G13="",G16="y"),"0","0"))</f>
        <v>0</v>
      </c>
      <c r="K13" s="164"/>
      <c r="U13" s="12"/>
      <c r="V13" s="12"/>
      <c r="W13" s="12"/>
      <c r="X13" s="12"/>
      <c r="Y13" s="12"/>
      <c r="Z13" s="12"/>
      <c r="AA13" s="12"/>
      <c r="AB13" s="12"/>
    </row>
    <row r="14" spans="2:28" ht="17" thickBot="1" x14ac:dyDescent="0.25">
      <c r="B14" s="161"/>
      <c r="C14" s="143" t="str">
        <f>IF(OR(G13="y",G16="y"),"","ADB")</f>
        <v>ADB</v>
      </c>
      <c r="D14" s="143"/>
      <c r="E14" s="178">
        <v>1.25</v>
      </c>
      <c r="F14" s="179"/>
      <c r="G14" s="171" t="s">
        <v>374</v>
      </c>
      <c r="H14" s="163"/>
      <c r="I14" s="143" t="s">
        <v>233</v>
      </c>
      <c r="J14" s="172">
        <f>IF(AND(G14="y",G13="",G16=""),C100*E14/1000,IF(AND(G14="",G13="",G16="Y"),"0","0"))</f>
        <v>8750</v>
      </c>
      <c r="K14" s="164"/>
      <c r="U14" s="12"/>
      <c r="V14" s="12"/>
      <c r="W14" s="12"/>
      <c r="X14" s="12"/>
      <c r="Y14" s="12"/>
      <c r="Z14" s="12"/>
      <c r="AA14" s="12"/>
      <c r="AB14" s="12"/>
    </row>
    <row r="15" spans="2:28" ht="17" thickBot="1" x14ac:dyDescent="0.25">
      <c r="B15" s="161"/>
      <c r="C15" s="147" t="str">
        <f>IF(OR(G13="y",G12="y",G16="y"),"","WP")</f>
        <v>WP</v>
      </c>
      <c r="D15" s="147"/>
      <c r="E15" s="150" t="str">
        <f>IF(AND(G6&lt;=24,G15="y"),0.5,IF(AND(G6&gt;=25,G6&lt;=29,G15="y"),0.75,IF(AND(G6&gt;=30,G15="y"),1,"0")))</f>
        <v>0</v>
      </c>
      <c r="F15" s="153"/>
      <c r="G15" s="174"/>
      <c r="H15" s="163"/>
      <c r="I15" s="147" t="s">
        <v>235</v>
      </c>
      <c r="J15" s="150" t="str">
        <f>IF(AND(G15="y",G13="",G16=""),C100*E15/1000,IF(AND(G16="y",G15="",G13=""),"0","0"))</f>
        <v>0</v>
      </c>
      <c r="K15" s="164"/>
      <c r="U15" s="12"/>
      <c r="V15" s="12"/>
      <c r="W15" s="12"/>
      <c r="X15" s="12"/>
      <c r="Y15" s="12"/>
      <c r="Z15" s="12"/>
      <c r="AA15" s="12"/>
      <c r="AB15" s="12"/>
    </row>
    <row r="16" spans="2:28" ht="17" thickBot="1" x14ac:dyDescent="0.25">
      <c r="B16" s="161"/>
      <c r="C16" s="143" t="s">
        <v>278</v>
      </c>
      <c r="D16" s="143"/>
      <c r="E16" s="172" t="str">
        <f>C220</f>
        <v>0</v>
      </c>
      <c r="F16" s="179"/>
      <c r="G16" s="171"/>
      <c r="H16" s="163"/>
      <c r="I16" s="143" t="s">
        <v>279</v>
      </c>
      <c r="J16" s="172" t="str">
        <f>IF(G16="y",G4*E16/1000,"0")</f>
        <v>0</v>
      </c>
      <c r="K16" s="164"/>
      <c r="U16" s="12"/>
      <c r="V16" s="12"/>
      <c r="W16" s="12"/>
      <c r="X16" s="12"/>
      <c r="Y16" s="12"/>
      <c r="Z16" s="12"/>
      <c r="AA16" s="12"/>
      <c r="AB16" s="12"/>
    </row>
    <row r="17" spans="2:28" ht="17" thickBot="1" x14ac:dyDescent="0.25">
      <c r="B17" s="161"/>
      <c r="C17" s="147" t="str">
        <f>IF(G16="y","","RPR")</f>
        <v>RPR</v>
      </c>
      <c r="D17" s="147"/>
      <c r="E17" s="150" t="str">
        <f>C228</f>
        <v>0</v>
      </c>
      <c r="F17" s="151">
        <v>20</v>
      </c>
      <c r="G17" s="174"/>
      <c r="H17" s="163"/>
      <c r="I17" s="147" t="s">
        <v>229</v>
      </c>
      <c r="J17" s="150" t="str">
        <f>IF(AND(G17="y",G16=""),D101*E17/100,IF(AND(G17="",G16="y"),"0","0"))</f>
        <v>0</v>
      </c>
      <c r="K17" s="164"/>
      <c r="U17" s="12"/>
      <c r="V17" s="12"/>
      <c r="W17" s="12"/>
      <c r="X17" s="12"/>
      <c r="Y17" s="12"/>
      <c r="Z17" s="12"/>
      <c r="AA17" s="12"/>
      <c r="AB17" s="12"/>
    </row>
    <row r="18" spans="2:28" ht="17" thickBot="1" x14ac:dyDescent="0.25">
      <c r="B18" s="161"/>
      <c r="C18" s="168" t="s">
        <v>288</v>
      </c>
      <c r="D18" s="169" t="s">
        <v>367</v>
      </c>
      <c r="E18" s="169" t="s">
        <v>251</v>
      </c>
      <c r="F18" s="169" t="s">
        <v>272</v>
      </c>
      <c r="G18" s="169" t="s">
        <v>273</v>
      </c>
      <c r="H18" s="168"/>
      <c r="I18" s="168"/>
      <c r="J18" s="170"/>
      <c r="K18" s="164"/>
      <c r="U18" s="12"/>
      <c r="V18" s="12"/>
      <c r="W18" s="12"/>
      <c r="X18" s="12"/>
      <c r="Y18" s="12"/>
      <c r="Z18" s="12"/>
      <c r="AA18" s="12"/>
      <c r="AB18" s="12"/>
    </row>
    <row r="19" spans="2:28" ht="17" thickBot="1" x14ac:dyDescent="0.25">
      <c r="B19" s="161"/>
      <c r="C19" s="143" t="str">
        <f>IF(G25="y","","FIB in %")</f>
        <v>FIB in %</v>
      </c>
      <c r="D19" s="171">
        <v>10</v>
      </c>
      <c r="E19" s="172">
        <f>IF(AND(D19&gt;=10,D19&lt;=50),D19/10*C234,"0")</f>
        <v>0</v>
      </c>
      <c r="F19" s="171">
        <v>20</v>
      </c>
      <c r="G19" s="171"/>
      <c r="H19" s="163"/>
      <c r="I19" s="143" t="s">
        <v>226</v>
      </c>
      <c r="J19" s="173" t="str">
        <f>F139</f>
        <v>0</v>
      </c>
      <c r="K19" s="164"/>
      <c r="U19" s="12"/>
      <c r="V19" s="12"/>
      <c r="W19" s="12"/>
      <c r="X19" s="12"/>
      <c r="Y19" s="12"/>
      <c r="Z19" s="12"/>
      <c r="AA19" s="12"/>
      <c r="AB19" s="12"/>
    </row>
    <row r="20" spans="2:28" ht="17" thickBot="1" x14ac:dyDescent="0.25">
      <c r="B20" s="161"/>
      <c r="C20" s="147" t="str">
        <f>IF(G25="y","","TIR in Times")</f>
        <v>TIR in Times</v>
      </c>
      <c r="D20" s="149">
        <v>1</v>
      </c>
      <c r="E20" s="150">
        <f>C236*D20</f>
        <v>0</v>
      </c>
      <c r="F20" s="151">
        <v>20</v>
      </c>
      <c r="G20" s="174"/>
      <c r="H20" s="163"/>
      <c r="I20" s="147" t="s">
        <v>227</v>
      </c>
      <c r="J20" s="175" t="str">
        <f>F140</f>
        <v>0</v>
      </c>
      <c r="K20" s="164"/>
      <c r="U20" s="12"/>
      <c r="V20" s="12"/>
      <c r="W20" s="12"/>
      <c r="X20" s="12"/>
      <c r="Y20" s="12"/>
      <c r="Z20" s="12"/>
      <c r="AA20" s="12"/>
      <c r="AB20" s="12"/>
    </row>
    <row r="21" spans="2:28" ht="17" thickBot="1" x14ac:dyDescent="0.25">
      <c r="B21" s="161"/>
      <c r="C21" s="143" t="str">
        <f>IF(G25="y","","SWP")</f>
        <v>SWP</v>
      </c>
      <c r="D21" s="143"/>
      <c r="E21" s="176" t="str">
        <f>C238</f>
        <v>0</v>
      </c>
      <c r="F21" s="177">
        <v>20</v>
      </c>
      <c r="G21" s="171"/>
      <c r="H21" s="163"/>
      <c r="I21" s="143" t="s">
        <v>228</v>
      </c>
      <c r="J21" s="172" t="str">
        <f>IF(AND(G21="y",G25=""),E21*J8/100,IF(AND(G21="",G25="y"),"0","0"))</f>
        <v>0</v>
      </c>
      <c r="K21" s="164"/>
      <c r="U21" s="12"/>
      <c r="V21" s="12"/>
      <c r="W21" s="12"/>
      <c r="X21" s="12"/>
      <c r="Y21" s="12"/>
      <c r="Z21" s="12"/>
      <c r="AA21" s="12"/>
      <c r="AB21" s="12"/>
    </row>
    <row r="22" spans="2:28" ht="17" thickBot="1" x14ac:dyDescent="0.25">
      <c r="B22" s="161"/>
      <c r="C22" s="147" t="str">
        <f>IF(OR(G23="y",G25="y"),"","AIB")</f>
        <v>AIB</v>
      </c>
      <c r="D22" s="147"/>
      <c r="E22" s="152">
        <v>4</v>
      </c>
      <c r="F22" s="153"/>
      <c r="G22" s="174"/>
      <c r="H22" s="163"/>
      <c r="I22" s="147" t="s">
        <v>234</v>
      </c>
      <c r="J22" s="150" t="str">
        <f>IF(AND(G23="",G22="y",G25=""),C100*E22/1000,IF(AND(G23="",G22="",G25="y"),"0","0"))</f>
        <v>0</v>
      </c>
      <c r="K22" s="164"/>
      <c r="U22" s="12"/>
      <c r="V22" s="12"/>
      <c r="W22" s="12"/>
      <c r="X22" s="12"/>
      <c r="Y22" s="12"/>
      <c r="Z22" s="12"/>
      <c r="AA22" s="12"/>
      <c r="AB22" s="12"/>
    </row>
    <row r="23" spans="2:28" ht="17" thickBot="1" x14ac:dyDescent="0.25">
      <c r="B23" s="161"/>
      <c r="C23" s="143" t="str">
        <f>IF(OR(G22="y",G25="y"),"","ADB")</f>
        <v>ADB</v>
      </c>
      <c r="D23" s="143"/>
      <c r="E23" s="178">
        <v>1.25</v>
      </c>
      <c r="F23" s="179"/>
      <c r="G23" s="171"/>
      <c r="H23" s="163"/>
      <c r="I23" s="143" t="s">
        <v>233</v>
      </c>
      <c r="J23" s="172" t="str">
        <f>IF(AND(G23="y",G22="",G25=""),C100*E23/1000,IF(AND(G23="",G22="",G25="Y"),"0","0"))</f>
        <v>0</v>
      </c>
      <c r="K23" s="164"/>
      <c r="U23" s="12"/>
      <c r="V23" s="12"/>
      <c r="W23" s="12"/>
      <c r="X23" s="12"/>
      <c r="Y23" s="12"/>
      <c r="Z23" s="12"/>
      <c r="AA23" s="12"/>
      <c r="AB23" s="12"/>
    </row>
    <row r="24" spans="2:28" ht="17" thickBot="1" x14ac:dyDescent="0.25">
      <c r="B24" s="161"/>
      <c r="C24" s="147" t="str">
        <f>IF(OR(G21="y",G22="y",G25="y"),"","WP")</f>
        <v>WP</v>
      </c>
      <c r="D24" s="147"/>
      <c r="E24" s="150" t="str">
        <f>IF(AND(G7&lt;=24,G15="y"),0.5,IF(AND(G7&gt;=25,G7&lt;=29,G15="y"),0.75,IF(AND(G7&gt;=30,G15="y"),1,"0")))</f>
        <v>0</v>
      </c>
      <c r="F24" s="153"/>
      <c r="G24" s="174"/>
      <c r="H24" s="163"/>
      <c r="I24" s="147" t="s">
        <v>235</v>
      </c>
      <c r="J24" s="150" t="str">
        <f>IF(AND(G24="y",G22="",G25=""),C100*E24/1000,IF(AND(G25="y",G24="",G22=""),"0","0"))</f>
        <v>0</v>
      </c>
      <c r="K24" s="164"/>
      <c r="U24" s="12"/>
      <c r="V24" s="12"/>
      <c r="W24" s="12"/>
      <c r="X24" s="12"/>
      <c r="Y24" s="12"/>
      <c r="Z24" s="12"/>
      <c r="AA24" s="12"/>
      <c r="AB24" s="12"/>
    </row>
    <row r="25" spans="2:28" ht="17" thickBot="1" x14ac:dyDescent="0.25">
      <c r="B25" s="161"/>
      <c r="C25" s="143" t="s">
        <v>278</v>
      </c>
      <c r="D25" s="143"/>
      <c r="E25" s="172" t="str">
        <f>C242</f>
        <v>0</v>
      </c>
      <c r="F25" s="179"/>
      <c r="G25" s="171"/>
      <c r="H25" s="163"/>
      <c r="I25" s="143" t="s">
        <v>279</v>
      </c>
      <c r="J25" s="172" t="str">
        <f>IF(G25="y",G4*E25/1000,"0")</f>
        <v>0</v>
      </c>
      <c r="K25" s="164"/>
      <c r="U25" s="12"/>
      <c r="V25" s="12"/>
      <c r="W25" s="12"/>
      <c r="X25" s="12"/>
      <c r="Y25" s="12"/>
      <c r="Z25" s="12"/>
      <c r="AA25" s="12"/>
      <c r="AB25" s="12"/>
    </row>
    <row r="26" spans="2:28" ht="17" thickBot="1" x14ac:dyDescent="0.25">
      <c r="B26" s="161"/>
      <c r="C26" s="147" t="str">
        <f>IF(G25="y","","RPR")</f>
        <v>RPR</v>
      </c>
      <c r="D26" s="147"/>
      <c r="E26" s="150" t="str">
        <f>C240</f>
        <v>0</v>
      </c>
      <c r="F26" s="151">
        <v>20</v>
      </c>
      <c r="G26" s="174"/>
      <c r="H26" s="163"/>
      <c r="I26" s="147" t="s">
        <v>229</v>
      </c>
      <c r="J26" s="150" t="str">
        <f>IF(AND(G26="y",G25=""),D101*E26/100,IF(AND(G26="",G25="y"),"0","0"))</f>
        <v>0</v>
      </c>
      <c r="K26" s="164"/>
      <c r="U26" s="12"/>
      <c r="V26" s="12"/>
      <c r="W26" s="12"/>
      <c r="X26" s="12"/>
      <c r="Y26" s="12"/>
      <c r="Z26" s="12"/>
      <c r="AA26" s="12"/>
      <c r="AB26" s="12"/>
    </row>
    <row r="27" spans="2:28" ht="17" thickBot="1" x14ac:dyDescent="0.25">
      <c r="B27" s="161"/>
      <c r="C27" s="180" t="s">
        <v>291</v>
      </c>
      <c r="D27" s="180"/>
      <c r="E27" s="181"/>
      <c r="F27" s="182">
        <v>10</v>
      </c>
      <c r="G27" s="171"/>
      <c r="H27" s="163"/>
      <c r="I27" s="181"/>
      <c r="J27" s="181"/>
      <c r="K27" s="164"/>
      <c r="U27" s="12"/>
      <c r="V27" s="12"/>
      <c r="W27" s="12"/>
      <c r="X27" s="12"/>
      <c r="Y27" s="12"/>
      <c r="Z27" s="12"/>
      <c r="AA27" s="12"/>
      <c r="AB27" s="12"/>
    </row>
    <row r="28" spans="2:28" ht="16" x14ac:dyDescent="0.2">
      <c r="B28" s="161"/>
      <c r="C28" s="147" t="s">
        <v>230</v>
      </c>
      <c r="D28" s="147"/>
      <c r="E28" s="150">
        <f>C200</f>
        <v>52.35</v>
      </c>
      <c r="F28" s="150"/>
      <c r="G28" s="183"/>
      <c r="H28" s="163"/>
      <c r="I28" s="147" t="s">
        <v>368</v>
      </c>
      <c r="J28" s="183"/>
      <c r="K28" s="164"/>
      <c r="U28" s="12"/>
      <c r="V28" s="12"/>
      <c r="W28" s="12"/>
      <c r="X28" s="12"/>
      <c r="Y28" s="12"/>
      <c r="Z28" s="12"/>
      <c r="AA28" s="12"/>
      <c r="AB28" s="12"/>
    </row>
    <row r="29" spans="2:28" ht="19.5" customHeight="1" x14ac:dyDescent="0.2">
      <c r="B29" s="161"/>
      <c r="C29" s="143"/>
      <c r="D29" s="143"/>
      <c r="E29" s="144"/>
      <c r="F29" s="144"/>
      <c r="G29" s="144"/>
      <c r="H29" s="184"/>
      <c r="I29" s="143"/>
      <c r="J29" s="185"/>
      <c r="K29" s="164"/>
      <c r="U29" s="12"/>
      <c r="V29" s="12"/>
      <c r="W29" s="12"/>
      <c r="X29" s="12"/>
      <c r="Y29" s="12"/>
      <c r="Z29" s="12"/>
      <c r="AA29" s="12"/>
      <c r="AB29" s="12"/>
    </row>
    <row r="30" spans="2:28" ht="17" thickBot="1" x14ac:dyDescent="0.25">
      <c r="B30" s="403"/>
      <c r="C30" s="404"/>
      <c r="D30" s="404"/>
      <c r="E30" s="404"/>
      <c r="F30" s="404"/>
      <c r="G30" s="404"/>
      <c r="H30" s="404"/>
      <c r="I30" s="404"/>
      <c r="J30" s="404"/>
      <c r="K30" s="405"/>
      <c r="T30" s="12"/>
      <c r="U30" s="12"/>
      <c r="V30" s="12"/>
      <c r="W30" s="12"/>
      <c r="X30" s="12"/>
      <c r="Y30" s="12"/>
      <c r="Z30" s="12"/>
      <c r="AA30" s="12"/>
    </row>
    <row r="31" spans="2:28" ht="16" x14ac:dyDescent="0.2">
      <c r="B31" s="158" t="s">
        <v>271</v>
      </c>
      <c r="C31" s="158"/>
      <c r="D31" s="158"/>
      <c r="E31" s="158"/>
      <c r="F31" s="158"/>
      <c r="G31" s="158"/>
      <c r="H31" s="159"/>
      <c r="I31" s="159"/>
      <c r="J31" s="159"/>
      <c r="K31" s="157"/>
      <c r="S31" s="12"/>
      <c r="T31" s="12"/>
      <c r="U31" s="12"/>
      <c r="V31" s="12"/>
      <c r="W31" s="12"/>
      <c r="X31" s="12"/>
      <c r="Y31" s="12"/>
      <c r="Z31" s="12"/>
    </row>
    <row r="32" spans="2:28" ht="16" x14ac:dyDescent="0.2">
      <c r="B32" s="160">
        <v>1</v>
      </c>
      <c r="C32" s="158" t="s">
        <v>270</v>
      </c>
      <c r="D32" s="158"/>
      <c r="E32" s="158"/>
      <c r="F32" s="158"/>
      <c r="G32" s="158"/>
      <c r="H32" s="159"/>
      <c r="I32" s="159"/>
      <c r="J32" s="159"/>
      <c r="K32" s="157"/>
      <c r="S32" s="12"/>
      <c r="T32" s="12"/>
      <c r="U32" s="12"/>
      <c r="V32" s="12"/>
      <c r="W32" s="12"/>
      <c r="X32" s="12"/>
      <c r="Y32" s="12"/>
      <c r="Z32" s="12"/>
    </row>
    <row r="33" spans="2:26" ht="16" x14ac:dyDescent="0.2">
      <c r="B33" s="160">
        <v>2</v>
      </c>
      <c r="C33" s="158" t="s">
        <v>286</v>
      </c>
      <c r="D33" s="158"/>
      <c r="E33" s="158"/>
      <c r="F33" s="158"/>
      <c r="G33" s="158"/>
      <c r="H33" s="159"/>
      <c r="I33" s="159"/>
      <c r="J33" s="159"/>
      <c r="K33" s="157"/>
      <c r="S33" s="12"/>
      <c r="T33" s="12"/>
      <c r="U33" s="12"/>
      <c r="V33" s="12"/>
      <c r="W33" s="12"/>
      <c r="X33" s="12"/>
      <c r="Y33" s="12"/>
      <c r="Z33" s="12"/>
    </row>
    <row r="34" spans="2:26" ht="16" x14ac:dyDescent="0.2">
      <c r="B34" s="160">
        <v>3</v>
      </c>
      <c r="C34" s="158" t="s">
        <v>269</v>
      </c>
      <c r="D34" s="158"/>
      <c r="E34" s="158"/>
      <c r="F34" s="158"/>
      <c r="G34" s="158"/>
      <c r="H34" s="159"/>
      <c r="I34" s="159"/>
      <c r="J34" s="159"/>
      <c r="K34" s="157"/>
      <c r="S34" s="12"/>
      <c r="T34" s="12"/>
      <c r="U34" s="12"/>
      <c r="V34" s="12"/>
      <c r="W34" s="12"/>
      <c r="X34" s="12"/>
      <c r="Y34" s="12"/>
      <c r="Z34" s="12"/>
    </row>
    <row r="35" spans="2:26" ht="16" x14ac:dyDescent="0.2">
      <c r="B35" s="160">
        <v>4</v>
      </c>
      <c r="C35" s="158" t="s">
        <v>276</v>
      </c>
      <c r="D35" s="158"/>
      <c r="E35" s="158"/>
      <c r="F35" s="158"/>
      <c r="G35" s="158"/>
      <c r="H35" s="159"/>
      <c r="I35" s="159"/>
      <c r="J35" s="159"/>
      <c r="K35" s="157"/>
      <c r="S35" s="12"/>
      <c r="T35" s="12"/>
      <c r="U35" s="12"/>
      <c r="V35" s="12"/>
      <c r="W35" s="12"/>
      <c r="X35" s="12"/>
      <c r="Y35" s="12"/>
      <c r="Z35" s="12"/>
    </row>
    <row r="36" spans="2:26" ht="16" x14ac:dyDescent="0.2">
      <c r="B36" s="160">
        <v>5</v>
      </c>
      <c r="C36" s="158" t="s">
        <v>277</v>
      </c>
      <c r="D36" s="158"/>
      <c r="E36" s="158"/>
      <c r="F36" s="158"/>
      <c r="G36" s="158"/>
      <c r="H36" s="160"/>
      <c r="I36" s="158"/>
      <c r="J36" s="159"/>
      <c r="K36" s="157"/>
      <c r="S36" s="12"/>
      <c r="T36" s="12"/>
      <c r="U36" s="12"/>
      <c r="V36" s="12"/>
      <c r="W36" s="12"/>
      <c r="X36" s="12"/>
      <c r="Y36" s="12"/>
      <c r="Z36" s="12"/>
    </row>
    <row r="37" spans="2:26" ht="16" x14ac:dyDescent="0.2">
      <c r="B37" s="160">
        <v>6</v>
      </c>
      <c r="C37" s="158" t="s">
        <v>292</v>
      </c>
      <c r="D37" s="159"/>
      <c r="E37" s="159"/>
      <c r="F37" s="159"/>
      <c r="G37" s="159"/>
      <c r="H37" s="159"/>
      <c r="I37" s="159"/>
      <c r="J37" s="159"/>
      <c r="K37" s="157"/>
      <c r="S37" s="12"/>
      <c r="T37" s="12"/>
      <c r="U37" s="12"/>
      <c r="V37" s="12"/>
      <c r="W37" s="12"/>
      <c r="X37" s="12"/>
      <c r="Y37" s="12"/>
      <c r="Z37" s="12"/>
    </row>
    <row r="38" spans="2:26" x14ac:dyDescent="0.15">
      <c r="S38" s="12"/>
      <c r="T38" s="12"/>
      <c r="U38" s="12"/>
      <c r="V38" s="12"/>
      <c r="W38" s="12"/>
      <c r="X38" s="12"/>
      <c r="Y38" s="12"/>
      <c r="Z38" s="12"/>
    </row>
    <row r="39" spans="2:26" x14ac:dyDescent="0.15">
      <c r="S39" s="12"/>
      <c r="T39" s="12"/>
      <c r="U39" s="12"/>
      <c r="V39" s="12"/>
      <c r="W39" s="12"/>
      <c r="X39" s="12"/>
      <c r="Y39" s="12"/>
      <c r="Z39" s="12"/>
    </row>
    <row r="40" spans="2:26" x14ac:dyDescent="0.15">
      <c r="S40" s="12"/>
      <c r="T40" s="12"/>
      <c r="U40" s="12"/>
      <c r="V40" s="12"/>
      <c r="W40" s="12"/>
      <c r="X40" s="12"/>
      <c r="Y40" s="12"/>
      <c r="Z40" s="12"/>
    </row>
    <row r="41" spans="2:26" hidden="1" x14ac:dyDescent="0.15">
      <c r="S41" s="12"/>
      <c r="T41" s="12"/>
      <c r="U41" s="12"/>
      <c r="V41" s="12"/>
      <c r="W41" s="12"/>
      <c r="X41" s="12"/>
      <c r="Y41" s="12"/>
      <c r="Z41" s="12"/>
    </row>
    <row r="42" spans="2:26" hidden="1" x14ac:dyDescent="0.15">
      <c r="S42" s="12"/>
      <c r="T42" s="12"/>
      <c r="U42" s="12"/>
      <c r="V42" s="12"/>
      <c r="W42" s="12"/>
      <c r="X42" s="12"/>
      <c r="Y42" s="12"/>
      <c r="Z42" s="12"/>
    </row>
    <row r="43" spans="2:26" hidden="1" x14ac:dyDescent="0.15">
      <c r="S43" s="12"/>
      <c r="T43" s="12"/>
      <c r="U43" s="12"/>
      <c r="V43" s="12"/>
      <c r="W43" s="12"/>
      <c r="X43" s="12"/>
      <c r="Y43" s="12"/>
      <c r="Z43" s="12"/>
    </row>
    <row r="44" spans="2:26" hidden="1" x14ac:dyDescent="0.15">
      <c r="S44" s="12"/>
      <c r="T44" s="12"/>
      <c r="U44" s="12"/>
      <c r="V44" s="12"/>
      <c r="W44" s="12"/>
      <c r="X44" s="12"/>
      <c r="Y44" s="12"/>
      <c r="Z44" s="12"/>
    </row>
    <row r="45" spans="2:26" hidden="1" x14ac:dyDescent="0.15">
      <c r="S45" s="12"/>
      <c r="T45" s="12"/>
      <c r="U45" s="12"/>
      <c r="V45" s="12"/>
      <c r="W45" s="12"/>
      <c r="X45" s="12"/>
      <c r="Y45" s="12"/>
      <c r="Z45" s="12"/>
    </row>
    <row r="46" spans="2:26" hidden="1" x14ac:dyDescent="0.15">
      <c r="S46" s="12"/>
      <c r="T46" s="12"/>
      <c r="U46" s="12"/>
      <c r="V46" s="12"/>
      <c r="W46" s="12"/>
      <c r="X46" s="12"/>
      <c r="Y46" s="12"/>
      <c r="Z46" s="12"/>
    </row>
    <row r="47" spans="2:26" hidden="1" x14ac:dyDescent="0.15">
      <c r="S47" s="12"/>
      <c r="T47" s="12"/>
      <c r="U47" s="12"/>
      <c r="V47" s="12"/>
      <c r="W47" s="12"/>
      <c r="X47" s="12"/>
      <c r="Y47" s="12"/>
      <c r="Z47" s="12"/>
    </row>
    <row r="48" spans="2:26" hidden="1" x14ac:dyDescent="0.15">
      <c r="S48" s="12"/>
      <c r="T48" s="12"/>
      <c r="U48" s="12"/>
      <c r="V48" s="12"/>
      <c r="W48" s="12"/>
      <c r="X48" s="12"/>
      <c r="Y48" s="12"/>
      <c r="Z48" s="12"/>
    </row>
    <row r="49" spans="19:26" hidden="1" x14ac:dyDescent="0.15">
      <c r="S49" s="12"/>
      <c r="T49" s="12"/>
      <c r="U49" s="12"/>
      <c r="V49" s="12"/>
      <c r="W49" s="12"/>
      <c r="X49" s="12"/>
      <c r="Y49" s="12"/>
      <c r="Z49" s="12"/>
    </row>
    <row r="50" spans="19:26" hidden="1" x14ac:dyDescent="0.15">
      <c r="S50" s="12"/>
      <c r="T50" s="12"/>
      <c r="U50" s="12"/>
      <c r="V50" s="12"/>
      <c r="W50" s="12"/>
      <c r="X50" s="12"/>
      <c r="Y50" s="12"/>
      <c r="Z50" s="12"/>
    </row>
    <row r="51" spans="19:26" hidden="1" x14ac:dyDescent="0.15">
      <c r="S51" s="12"/>
      <c r="T51" s="12"/>
      <c r="U51" s="12"/>
      <c r="V51" s="12"/>
      <c r="W51" s="12"/>
      <c r="X51" s="12"/>
      <c r="Y51" s="12"/>
      <c r="Z51" s="12"/>
    </row>
    <row r="52" spans="19:26" hidden="1" x14ac:dyDescent="0.15">
      <c r="S52" s="12"/>
      <c r="T52" s="12"/>
      <c r="U52" s="12"/>
      <c r="V52" s="12"/>
      <c r="W52" s="12"/>
      <c r="X52" s="12"/>
      <c r="Y52" s="12"/>
      <c r="Z52" s="12"/>
    </row>
    <row r="53" spans="19:26" hidden="1" x14ac:dyDescent="0.15">
      <c r="S53" s="12"/>
      <c r="T53" s="12"/>
      <c r="U53" s="12"/>
      <c r="V53" s="12"/>
      <c r="W53" s="12"/>
      <c r="X53" s="12"/>
      <c r="Y53" s="12"/>
      <c r="Z53" s="12"/>
    </row>
    <row r="54" spans="19:26" hidden="1" x14ac:dyDescent="0.15">
      <c r="S54" s="12"/>
      <c r="T54" s="12"/>
      <c r="U54" s="12"/>
      <c r="V54" s="12"/>
      <c r="W54" s="12"/>
      <c r="X54" s="12"/>
      <c r="Y54" s="12"/>
      <c r="Z54" s="12"/>
    </row>
    <row r="55" spans="19:26" hidden="1" x14ac:dyDescent="0.15">
      <c r="S55" s="12"/>
      <c r="T55" s="12"/>
      <c r="U55" s="12"/>
      <c r="V55" s="12"/>
      <c r="W55" s="12"/>
      <c r="X55" s="12"/>
      <c r="Y55" s="12"/>
      <c r="Z55" s="12"/>
    </row>
    <row r="56" spans="19:26" hidden="1" x14ac:dyDescent="0.15">
      <c r="S56" s="12"/>
      <c r="T56" s="12"/>
      <c r="U56" s="12"/>
      <c r="V56" s="12"/>
      <c r="W56" s="12"/>
      <c r="X56" s="12"/>
      <c r="Y56" s="12"/>
      <c r="Z56" s="12"/>
    </row>
    <row r="57" spans="19:26" hidden="1" x14ac:dyDescent="0.15">
      <c r="S57" s="12"/>
      <c r="T57" s="12"/>
      <c r="U57" s="12"/>
      <c r="V57" s="12"/>
      <c r="W57" s="12"/>
      <c r="X57" s="12"/>
      <c r="Y57" s="12"/>
      <c r="Z57" s="12"/>
    </row>
    <row r="58" spans="19:26" hidden="1" x14ac:dyDescent="0.15">
      <c r="S58" s="12"/>
      <c r="T58" s="12"/>
      <c r="U58" s="12"/>
      <c r="V58" s="12"/>
      <c r="W58" s="12"/>
      <c r="X58" s="12"/>
      <c r="Y58" s="12"/>
      <c r="Z58" s="12"/>
    </row>
    <row r="59" spans="19:26" hidden="1" x14ac:dyDescent="0.15">
      <c r="S59" s="12"/>
      <c r="T59" s="12"/>
      <c r="U59" s="12"/>
      <c r="V59" s="12"/>
      <c r="W59" s="12"/>
      <c r="X59" s="12"/>
      <c r="Y59" s="12"/>
      <c r="Z59" s="12"/>
    </row>
    <row r="60" spans="19:26" hidden="1" x14ac:dyDescent="0.15">
      <c r="S60" s="12"/>
      <c r="T60" s="12"/>
      <c r="U60" s="12"/>
      <c r="V60" s="12"/>
      <c r="W60" s="12"/>
      <c r="X60" s="12"/>
      <c r="Y60" s="12"/>
      <c r="Z60" s="12"/>
    </row>
    <row r="61" spans="19:26" hidden="1" x14ac:dyDescent="0.15">
      <c r="S61" s="12"/>
      <c r="T61" s="12"/>
      <c r="U61" s="12"/>
      <c r="V61" s="12"/>
      <c r="W61" s="12"/>
      <c r="X61" s="12"/>
      <c r="Y61" s="12"/>
      <c r="Z61" s="12"/>
    </row>
    <row r="62" spans="19:26" hidden="1" x14ac:dyDescent="0.15">
      <c r="S62" s="12"/>
      <c r="T62" s="12"/>
      <c r="U62" s="12"/>
      <c r="V62" s="12"/>
      <c r="W62" s="12"/>
      <c r="X62" s="12"/>
      <c r="Y62" s="12"/>
      <c r="Z62" s="12"/>
    </row>
    <row r="63" spans="19:26" hidden="1" x14ac:dyDescent="0.15">
      <c r="S63" s="12"/>
      <c r="T63" s="12"/>
      <c r="U63" s="12"/>
      <c r="V63" s="12"/>
      <c r="W63" s="12"/>
      <c r="X63" s="12"/>
      <c r="Y63" s="12"/>
      <c r="Z63" s="12"/>
    </row>
    <row r="64" spans="19:26" hidden="1" x14ac:dyDescent="0.15">
      <c r="S64" s="12"/>
      <c r="T64" s="12"/>
      <c r="U64" s="12"/>
      <c r="V64" s="12"/>
      <c r="W64" s="12"/>
      <c r="X64" s="12"/>
      <c r="Y64" s="12"/>
      <c r="Z64" s="12"/>
    </row>
    <row r="65" spans="19:26" hidden="1" x14ac:dyDescent="0.15">
      <c r="S65" s="12"/>
      <c r="T65" s="12"/>
      <c r="U65" s="12"/>
      <c r="V65" s="12"/>
      <c r="W65" s="12"/>
      <c r="X65" s="12"/>
      <c r="Y65" s="12"/>
      <c r="Z65" s="12"/>
    </row>
    <row r="66" spans="19:26" hidden="1" x14ac:dyDescent="0.15">
      <c r="S66" s="12"/>
      <c r="T66" s="12"/>
      <c r="U66" s="12"/>
      <c r="V66" s="12"/>
      <c r="W66" s="12"/>
      <c r="X66" s="12"/>
      <c r="Y66" s="12"/>
      <c r="Z66" s="12"/>
    </row>
    <row r="67" spans="19:26" hidden="1" x14ac:dyDescent="0.15">
      <c r="S67" s="12"/>
      <c r="T67" s="12"/>
      <c r="U67" s="12"/>
      <c r="V67" s="12"/>
      <c r="W67" s="12"/>
      <c r="X67" s="12"/>
      <c r="Y67" s="12"/>
      <c r="Z67" s="12"/>
    </row>
    <row r="68" spans="19:26" hidden="1" x14ac:dyDescent="0.15">
      <c r="S68" s="12"/>
      <c r="T68" s="12"/>
      <c r="U68" s="12"/>
      <c r="V68" s="12"/>
      <c r="W68" s="12"/>
      <c r="X68" s="12"/>
      <c r="Y68" s="12"/>
      <c r="Z68" s="12"/>
    </row>
    <row r="69" spans="19:26" hidden="1" x14ac:dyDescent="0.15">
      <c r="S69" s="12"/>
      <c r="T69" s="12"/>
      <c r="U69" s="12"/>
      <c r="V69" s="12"/>
      <c r="W69" s="12"/>
      <c r="X69" s="12"/>
      <c r="Y69" s="12"/>
      <c r="Z69" s="12"/>
    </row>
    <row r="70" spans="19:26" hidden="1" x14ac:dyDescent="0.15">
      <c r="S70" s="12"/>
      <c r="T70" s="12"/>
      <c r="U70" s="12"/>
      <c r="V70" s="12"/>
      <c r="W70" s="12"/>
      <c r="X70" s="12"/>
      <c r="Y70" s="12"/>
      <c r="Z70" s="12"/>
    </row>
    <row r="71" spans="19:26" hidden="1" x14ac:dyDescent="0.15">
      <c r="S71" s="12"/>
      <c r="T71" s="12"/>
      <c r="U71" s="12"/>
      <c r="V71" s="12"/>
      <c r="W71" s="12"/>
      <c r="X71" s="12"/>
      <c r="Y71" s="12"/>
      <c r="Z71" s="12"/>
    </row>
    <row r="72" spans="19:26" hidden="1" x14ac:dyDescent="0.15">
      <c r="S72" s="12"/>
      <c r="T72" s="12"/>
      <c r="U72" s="12"/>
      <c r="V72" s="12"/>
      <c r="W72" s="12"/>
      <c r="X72" s="12"/>
      <c r="Y72" s="12"/>
      <c r="Z72" s="12"/>
    </row>
    <row r="73" spans="19:26" hidden="1" x14ac:dyDescent="0.15">
      <c r="S73" s="12"/>
      <c r="T73" s="12"/>
      <c r="U73" s="12"/>
      <c r="V73" s="12"/>
      <c r="W73" s="12"/>
      <c r="X73" s="12"/>
      <c r="Y73" s="12"/>
      <c r="Z73" s="12"/>
    </row>
    <row r="74" spans="19:26" hidden="1" x14ac:dyDescent="0.15">
      <c r="S74" s="12"/>
      <c r="T74" s="12"/>
      <c r="U74" s="12"/>
      <c r="V74" s="12"/>
      <c r="W74" s="12"/>
      <c r="X74" s="12"/>
      <c r="Y74" s="12"/>
      <c r="Z74" s="12"/>
    </row>
    <row r="75" spans="19:26" hidden="1" x14ac:dyDescent="0.15">
      <c r="S75" s="12"/>
      <c r="T75" s="12"/>
      <c r="U75" s="12"/>
      <c r="V75" s="12"/>
      <c r="W75" s="12"/>
      <c r="X75" s="12"/>
      <c r="Y75" s="12"/>
      <c r="Z75" s="12"/>
    </row>
    <row r="76" spans="19:26" hidden="1" x14ac:dyDescent="0.15">
      <c r="S76" s="12"/>
      <c r="T76" s="12"/>
      <c r="U76" s="12"/>
      <c r="V76" s="12"/>
      <c r="W76" s="12"/>
      <c r="X76" s="12"/>
      <c r="Y76" s="12"/>
      <c r="Z76" s="12"/>
    </row>
    <row r="77" spans="19:26" hidden="1" x14ac:dyDescent="0.15">
      <c r="S77" s="12"/>
      <c r="T77" s="12"/>
      <c r="U77" s="12"/>
      <c r="V77" s="12"/>
      <c r="W77" s="12"/>
      <c r="X77" s="12"/>
      <c r="Y77" s="12"/>
      <c r="Z77" s="12"/>
    </row>
    <row r="78" spans="19:26" hidden="1" x14ac:dyDescent="0.15">
      <c r="S78" s="12"/>
      <c r="T78" s="12"/>
      <c r="U78" s="12"/>
      <c r="V78" s="12"/>
      <c r="W78" s="12"/>
      <c r="X78" s="12"/>
      <c r="Y78" s="12"/>
      <c r="Z78" s="12"/>
    </row>
    <row r="79" spans="19:26" hidden="1" x14ac:dyDescent="0.15">
      <c r="S79" s="12"/>
      <c r="T79" s="12"/>
      <c r="U79" s="12"/>
      <c r="V79" s="12"/>
      <c r="W79" s="12"/>
      <c r="X79" s="12"/>
      <c r="Y79" s="12"/>
      <c r="Z79" s="12"/>
    </row>
    <row r="80" spans="19:26" hidden="1" x14ac:dyDescent="0.15">
      <c r="S80" s="12"/>
      <c r="T80" s="12"/>
      <c r="U80" s="12"/>
      <c r="V80" s="12"/>
      <c r="W80" s="12"/>
      <c r="X80" s="12"/>
      <c r="Y80" s="12"/>
      <c r="Z80" s="12"/>
    </row>
    <row r="81" spans="19:26" hidden="1" x14ac:dyDescent="0.15">
      <c r="S81" s="12"/>
      <c r="T81" s="12"/>
      <c r="U81" s="12"/>
      <c r="V81" s="12"/>
      <c r="W81" s="12"/>
      <c r="X81" s="12"/>
      <c r="Y81" s="12"/>
      <c r="Z81" s="12"/>
    </row>
    <row r="82" spans="19:26" hidden="1" x14ac:dyDescent="0.15">
      <c r="S82" s="12"/>
      <c r="T82" s="12"/>
      <c r="U82" s="12"/>
      <c r="V82" s="12"/>
      <c r="W82" s="12"/>
      <c r="X82" s="12"/>
      <c r="Y82" s="12"/>
      <c r="Z82" s="12"/>
    </row>
    <row r="83" spans="19:26" hidden="1" x14ac:dyDescent="0.15">
      <c r="S83" s="12"/>
      <c r="T83" s="12"/>
      <c r="U83" s="12"/>
      <c r="V83" s="12"/>
      <c r="W83" s="12"/>
      <c r="X83" s="12"/>
      <c r="Y83" s="12"/>
      <c r="Z83" s="12"/>
    </row>
    <row r="84" spans="19:26" hidden="1" x14ac:dyDescent="0.15">
      <c r="S84" s="12"/>
      <c r="T84" s="12"/>
      <c r="U84" s="12"/>
      <c r="V84" s="12"/>
      <c r="W84" s="12"/>
      <c r="X84" s="12"/>
      <c r="Y84" s="12"/>
      <c r="Z84" s="12"/>
    </row>
    <row r="85" spans="19:26" hidden="1" x14ac:dyDescent="0.15">
      <c r="S85" s="12"/>
      <c r="T85" s="12"/>
      <c r="U85" s="12"/>
      <c r="V85" s="12"/>
      <c r="W85" s="12"/>
      <c r="X85" s="12"/>
      <c r="Y85" s="12"/>
      <c r="Z85" s="12"/>
    </row>
    <row r="86" spans="19:26" hidden="1" x14ac:dyDescent="0.15">
      <c r="S86" s="12"/>
      <c r="T86" s="12"/>
      <c r="U86" s="12"/>
      <c r="V86" s="12"/>
      <c r="W86" s="12"/>
      <c r="X86" s="12"/>
      <c r="Y86" s="12"/>
      <c r="Z86" s="12"/>
    </row>
    <row r="87" spans="19:26" hidden="1" x14ac:dyDescent="0.15">
      <c r="S87" s="12"/>
      <c r="T87" s="12"/>
      <c r="U87" s="12"/>
      <c r="V87" s="12"/>
      <c r="W87" s="12"/>
      <c r="X87" s="12"/>
      <c r="Y87" s="12"/>
      <c r="Z87" s="12"/>
    </row>
    <row r="88" spans="19:26" hidden="1" x14ac:dyDescent="0.15">
      <c r="S88" s="12"/>
      <c r="T88" s="12"/>
      <c r="U88" s="12"/>
      <c r="V88" s="12"/>
      <c r="W88" s="12"/>
      <c r="X88" s="12"/>
      <c r="Y88" s="12"/>
      <c r="Z88" s="12"/>
    </row>
    <row r="89" spans="19:26" hidden="1" x14ac:dyDescent="0.15">
      <c r="S89" s="12"/>
      <c r="T89" s="12"/>
      <c r="U89" s="12"/>
      <c r="V89" s="12"/>
      <c r="W89" s="12"/>
      <c r="X89" s="12"/>
      <c r="Y89" s="12"/>
      <c r="Z89" s="12"/>
    </row>
    <row r="90" spans="19:26" hidden="1" x14ac:dyDescent="0.15">
      <c r="S90" s="12"/>
      <c r="T90" s="12"/>
      <c r="U90" s="12"/>
      <c r="V90" s="12"/>
      <c r="W90" s="12"/>
      <c r="X90" s="12"/>
      <c r="Y90" s="12"/>
      <c r="Z90" s="12"/>
    </row>
    <row r="91" spans="19:26" hidden="1" x14ac:dyDescent="0.15">
      <c r="S91" s="12"/>
      <c r="T91" s="12"/>
      <c r="U91" s="12"/>
      <c r="V91" s="12"/>
      <c r="W91" s="12"/>
      <c r="X91" s="12"/>
      <c r="Y91" s="12"/>
      <c r="Z91" s="12"/>
    </row>
    <row r="92" spans="19:26" hidden="1" x14ac:dyDescent="0.15">
      <c r="S92" s="12"/>
      <c r="T92" s="12"/>
      <c r="U92" s="12"/>
      <c r="V92" s="12"/>
      <c r="W92" s="12"/>
      <c r="X92" s="12"/>
      <c r="Y92" s="12"/>
      <c r="Z92" s="12"/>
    </row>
    <row r="93" spans="19:26" hidden="1" x14ac:dyDescent="0.15">
      <c r="S93" s="12"/>
      <c r="T93" s="12"/>
      <c r="U93" s="12"/>
      <c r="V93" s="12"/>
      <c r="W93" s="12"/>
      <c r="X93" s="12"/>
      <c r="Y93" s="12"/>
      <c r="Z93" s="12"/>
    </row>
    <row r="94" spans="19:26" hidden="1" x14ac:dyDescent="0.15">
      <c r="S94" s="12"/>
      <c r="T94" s="12"/>
      <c r="U94" s="12"/>
      <c r="V94" s="12"/>
      <c r="W94" s="12"/>
      <c r="X94" s="12"/>
      <c r="Y94" s="12"/>
      <c r="Z94" s="12"/>
    </row>
    <row r="95" spans="19:26" hidden="1" x14ac:dyDescent="0.15">
      <c r="S95" s="12"/>
      <c r="T95" s="12"/>
      <c r="U95" s="12"/>
      <c r="V95" s="12"/>
      <c r="W95" s="12"/>
      <c r="X95" s="12"/>
      <c r="Y95" s="12"/>
      <c r="Z95" s="12"/>
    </row>
    <row r="96" spans="19:26" hidden="1" x14ac:dyDescent="0.15">
      <c r="S96" s="12"/>
      <c r="T96" s="12"/>
      <c r="U96" s="12"/>
      <c r="V96" s="12"/>
      <c r="W96" s="12"/>
      <c r="X96" s="12"/>
      <c r="Y96" s="12"/>
      <c r="Z96" s="12"/>
    </row>
    <row r="97" spans="1:26" hidden="1" x14ac:dyDescent="0.15">
      <c r="S97" s="12"/>
      <c r="T97" s="12"/>
      <c r="U97" s="12"/>
      <c r="V97" s="12"/>
      <c r="W97" s="12"/>
      <c r="X97" s="12"/>
      <c r="Y97" s="12"/>
      <c r="Z97" s="12"/>
    </row>
    <row r="98" spans="1:26" hidden="1" x14ac:dyDescent="0.15">
      <c r="S98" s="12"/>
      <c r="T98" s="12"/>
      <c r="U98" s="12"/>
      <c r="V98" s="12"/>
      <c r="W98" s="12"/>
      <c r="X98" s="12"/>
      <c r="Y98" s="12"/>
      <c r="Z98" s="12"/>
    </row>
    <row r="99" spans="1:26" hidden="1" x14ac:dyDescent="0.15">
      <c r="S99" s="12"/>
      <c r="T99" s="12"/>
      <c r="U99" s="12"/>
      <c r="V99" s="12"/>
      <c r="W99" s="12"/>
      <c r="X99" s="12"/>
      <c r="Y99" s="12"/>
      <c r="Z99" s="12"/>
    </row>
    <row r="100" spans="1:26" hidden="1" x14ac:dyDescent="0.15">
      <c r="C100" s="11">
        <f>IF(G4&gt;=10000000,10000000,G4)</f>
        <v>7000000</v>
      </c>
      <c r="S100" s="12"/>
      <c r="T100" s="12"/>
      <c r="U100" s="12"/>
      <c r="V100" s="12"/>
      <c r="W100" s="12"/>
      <c r="X100" s="12"/>
      <c r="Y100" s="12"/>
      <c r="Z100" s="12"/>
    </row>
    <row r="101" spans="1:26" hidden="1" x14ac:dyDescent="0.15">
      <c r="A101" s="37" t="s">
        <v>236</v>
      </c>
      <c r="B101" s="18">
        <f>J8</f>
        <v>363050</v>
      </c>
      <c r="C101" s="18" t="s">
        <v>285</v>
      </c>
      <c r="D101" s="18">
        <f>SUM(B101:B118)</f>
        <v>371800</v>
      </c>
      <c r="S101" s="12"/>
      <c r="T101" s="12"/>
      <c r="U101" s="12"/>
      <c r="V101" s="12"/>
      <c r="W101" s="12"/>
      <c r="X101" s="12"/>
      <c r="Y101" s="12"/>
      <c r="Z101" s="12"/>
    </row>
    <row r="102" spans="1:26" hidden="1" x14ac:dyDescent="0.15">
      <c r="A102" s="36" t="s">
        <v>282</v>
      </c>
      <c r="S102" s="12"/>
      <c r="T102" s="12"/>
      <c r="U102" s="12"/>
      <c r="V102" s="12"/>
      <c r="W102" s="12"/>
      <c r="X102" s="12"/>
      <c r="Y102" s="12"/>
      <c r="Z102" s="12"/>
    </row>
    <row r="103" spans="1:26" hidden="1" x14ac:dyDescent="0.15">
      <c r="A103" s="13" t="s">
        <v>226</v>
      </c>
      <c r="B103" s="11" t="str">
        <f t="shared" ref="B103:B109" si="0">J10</f>
        <v>0</v>
      </c>
      <c r="S103" s="12"/>
      <c r="T103" s="12"/>
      <c r="U103" s="12"/>
      <c r="V103" s="12"/>
      <c r="W103" s="12"/>
      <c r="X103" s="12"/>
      <c r="Y103" s="12"/>
      <c r="Z103" s="12"/>
    </row>
    <row r="104" spans="1:26" hidden="1" x14ac:dyDescent="0.15">
      <c r="A104" s="14" t="s">
        <v>227</v>
      </c>
      <c r="B104" s="11" t="str">
        <f t="shared" si="0"/>
        <v>0</v>
      </c>
      <c r="S104" s="12"/>
      <c r="T104" s="12"/>
      <c r="U104" s="12"/>
      <c r="V104" s="12"/>
      <c r="W104" s="12"/>
      <c r="X104" s="12"/>
      <c r="Y104" s="12"/>
      <c r="Z104" s="12"/>
    </row>
    <row r="105" spans="1:26" hidden="1" x14ac:dyDescent="0.15">
      <c r="A105" s="13" t="s">
        <v>228</v>
      </c>
      <c r="B105" s="11" t="str">
        <f t="shared" si="0"/>
        <v>0</v>
      </c>
      <c r="S105" s="12"/>
      <c r="T105" s="12"/>
      <c r="U105" s="12"/>
      <c r="V105" s="12"/>
      <c r="W105" s="12"/>
      <c r="X105" s="12"/>
      <c r="Y105" s="12"/>
      <c r="Z105" s="12"/>
    </row>
    <row r="106" spans="1:26" hidden="1" x14ac:dyDescent="0.15">
      <c r="A106" s="14" t="s">
        <v>234</v>
      </c>
      <c r="B106" s="11" t="str">
        <f t="shared" si="0"/>
        <v>0</v>
      </c>
      <c r="S106" s="12"/>
      <c r="T106" s="12"/>
      <c r="U106" s="12"/>
      <c r="V106" s="12"/>
      <c r="W106" s="12"/>
      <c r="X106" s="12"/>
      <c r="Y106" s="12"/>
      <c r="Z106" s="12"/>
    </row>
    <row r="107" spans="1:26" hidden="1" x14ac:dyDescent="0.15">
      <c r="A107" s="13" t="s">
        <v>233</v>
      </c>
      <c r="B107" s="11">
        <f t="shared" si="0"/>
        <v>8750</v>
      </c>
      <c r="S107" s="12"/>
      <c r="T107" s="12"/>
      <c r="U107" s="12"/>
      <c r="V107" s="12"/>
      <c r="W107" s="12"/>
      <c r="X107" s="12"/>
      <c r="Y107" s="12"/>
      <c r="Z107" s="12"/>
    </row>
    <row r="108" spans="1:26" hidden="1" x14ac:dyDescent="0.15">
      <c r="A108" s="14" t="s">
        <v>235</v>
      </c>
      <c r="B108" s="11" t="str">
        <f t="shared" si="0"/>
        <v>0</v>
      </c>
      <c r="S108" s="12"/>
      <c r="T108" s="12"/>
      <c r="U108" s="12"/>
      <c r="V108" s="12"/>
      <c r="W108" s="12"/>
      <c r="X108" s="12"/>
      <c r="Y108" s="12"/>
      <c r="Z108" s="12"/>
    </row>
    <row r="109" spans="1:26" hidden="1" x14ac:dyDescent="0.15">
      <c r="A109" s="13" t="s">
        <v>279</v>
      </c>
      <c r="B109" s="11" t="str">
        <f t="shared" si="0"/>
        <v>0</v>
      </c>
      <c r="S109" s="12"/>
      <c r="T109" s="12"/>
      <c r="U109" s="12"/>
      <c r="V109" s="12"/>
      <c r="W109" s="12"/>
      <c r="X109" s="12"/>
      <c r="Y109" s="12"/>
      <c r="Z109" s="12"/>
    </row>
    <row r="110" spans="1:26" hidden="1" x14ac:dyDescent="0.15">
      <c r="C110" s="14" t="s">
        <v>229</v>
      </c>
      <c r="D110" s="11" t="str">
        <f>J17</f>
        <v>0</v>
      </c>
      <c r="S110" s="12"/>
      <c r="T110" s="12"/>
      <c r="U110" s="12"/>
      <c r="V110" s="12"/>
      <c r="W110" s="12"/>
      <c r="X110" s="12"/>
      <c r="Y110" s="12"/>
      <c r="Z110" s="12"/>
    </row>
    <row r="111" spans="1:26" hidden="1" x14ac:dyDescent="0.15">
      <c r="A111" s="36" t="s">
        <v>281</v>
      </c>
      <c r="S111" s="12"/>
      <c r="T111" s="12"/>
      <c r="U111" s="12"/>
      <c r="V111" s="12"/>
      <c r="W111" s="12"/>
      <c r="X111" s="12"/>
      <c r="Y111" s="12"/>
      <c r="Z111" s="12"/>
    </row>
    <row r="112" spans="1:26" hidden="1" x14ac:dyDescent="0.15">
      <c r="A112" s="13" t="s">
        <v>226</v>
      </c>
      <c r="B112" s="11" t="str">
        <f>J19</f>
        <v>0</v>
      </c>
      <c r="S112" s="12"/>
      <c r="T112" s="12"/>
      <c r="U112" s="12"/>
      <c r="V112" s="12"/>
      <c r="W112" s="12"/>
      <c r="X112" s="12"/>
      <c r="Y112" s="12"/>
      <c r="Z112" s="12"/>
    </row>
    <row r="113" spans="1:26" hidden="1" x14ac:dyDescent="0.15">
      <c r="A113" s="14" t="s">
        <v>227</v>
      </c>
      <c r="B113" s="11" t="str">
        <f t="shared" ref="B113:B118" si="1">J20</f>
        <v>0</v>
      </c>
      <c r="S113" s="12"/>
      <c r="T113" s="12"/>
      <c r="U113" s="12"/>
      <c r="V113" s="12"/>
      <c r="W113" s="12"/>
      <c r="X113" s="12"/>
      <c r="Y113" s="12"/>
      <c r="Z113" s="12"/>
    </row>
    <row r="114" spans="1:26" hidden="1" x14ac:dyDescent="0.15">
      <c r="A114" s="13" t="s">
        <v>228</v>
      </c>
      <c r="B114" s="11" t="str">
        <f t="shared" si="1"/>
        <v>0</v>
      </c>
      <c r="S114" s="12"/>
      <c r="T114" s="12"/>
      <c r="U114" s="12"/>
      <c r="V114" s="12"/>
      <c r="W114" s="12"/>
      <c r="X114" s="12"/>
      <c r="Y114" s="12"/>
      <c r="Z114" s="12"/>
    </row>
    <row r="115" spans="1:26" hidden="1" x14ac:dyDescent="0.15">
      <c r="A115" s="14" t="s">
        <v>234</v>
      </c>
      <c r="B115" s="11" t="str">
        <f t="shared" si="1"/>
        <v>0</v>
      </c>
      <c r="S115" s="12"/>
      <c r="T115" s="12"/>
      <c r="U115" s="12"/>
      <c r="V115" s="12"/>
      <c r="W115" s="12"/>
      <c r="X115" s="12"/>
      <c r="Y115" s="12"/>
      <c r="Z115" s="12"/>
    </row>
    <row r="116" spans="1:26" hidden="1" x14ac:dyDescent="0.15">
      <c r="A116" s="13" t="s">
        <v>233</v>
      </c>
      <c r="B116" s="11" t="str">
        <f t="shared" si="1"/>
        <v>0</v>
      </c>
      <c r="S116" s="12"/>
      <c r="T116" s="12"/>
      <c r="U116" s="12"/>
      <c r="V116" s="12"/>
      <c r="W116" s="12"/>
      <c r="X116" s="12"/>
      <c r="Y116" s="12"/>
      <c r="Z116" s="12"/>
    </row>
    <row r="117" spans="1:26" hidden="1" x14ac:dyDescent="0.15">
      <c r="A117" s="14" t="s">
        <v>235</v>
      </c>
      <c r="B117" s="11" t="str">
        <f t="shared" si="1"/>
        <v>0</v>
      </c>
      <c r="S117" s="12"/>
      <c r="T117" s="12"/>
      <c r="U117" s="12"/>
      <c r="V117" s="12"/>
      <c r="W117" s="12"/>
      <c r="X117" s="12"/>
      <c r="Y117" s="12"/>
      <c r="Z117" s="12"/>
    </row>
    <row r="118" spans="1:26" hidden="1" x14ac:dyDescent="0.15">
      <c r="A118" s="13" t="s">
        <v>279</v>
      </c>
      <c r="B118" s="11" t="str">
        <f t="shared" si="1"/>
        <v>0</v>
      </c>
      <c r="S118" s="12"/>
      <c r="T118" s="12"/>
      <c r="U118" s="12"/>
      <c r="V118" s="12"/>
      <c r="W118" s="12"/>
      <c r="X118" s="12"/>
      <c r="Y118" s="12"/>
      <c r="Z118" s="12"/>
    </row>
    <row r="119" spans="1:26" hidden="1" x14ac:dyDescent="0.15">
      <c r="C119" s="14" t="s">
        <v>229</v>
      </c>
      <c r="D119" s="11" t="str">
        <f>J26</f>
        <v>0</v>
      </c>
      <c r="S119" s="12"/>
      <c r="T119" s="12"/>
      <c r="U119" s="12"/>
      <c r="V119" s="12"/>
      <c r="W119" s="12"/>
      <c r="X119" s="12"/>
      <c r="Y119" s="12"/>
      <c r="Z119" s="12"/>
    </row>
    <row r="120" spans="1:26" hidden="1" x14ac:dyDescent="0.15">
      <c r="S120" s="12"/>
      <c r="T120" s="12"/>
      <c r="U120" s="12"/>
      <c r="V120" s="12"/>
      <c r="W120" s="12"/>
      <c r="X120" s="12"/>
      <c r="Y120" s="12"/>
      <c r="Z120" s="12"/>
    </row>
    <row r="121" spans="1:26" hidden="1" x14ac:dyDescent="0.15">
      <c r="C121" s="11" t="s">
        <v>267</v>
      </c>
      <c r="D121" s="18">
        <f>SUM(D101:D119)</f>
        <v>371800</v>
      </c>
      <c r="S121" s="12"/>
      <c r="T121" s="12"/>
      <c r="U121" s="12"/>
      <c r="V121" s="12"/>
      <c r="W121" s="12"/>
      <c r="X121" s="12"/>
      <c r="Y121" s="12"/>
      <c r="Z121" s="12"/>
    </row>
    <row r="122" spans="1:26" hidden="1" x14ac:dyDescent="0.15">
      <c r="S122" s="12"/>
      <c r="T122" s="12"/>
      <c r="U122" s="12"/>
      <c r="V122" s="12"/>
      <c r="W122" s="12"/>
      <c r="X122" s="12"/>
      <c r="Y122" s="12"/>
      <c r="Z122" s="12"/>
    </row>
    <row r="123" spans="1:26" hidden="1" x14ac:dyDescent="0.15">
      <c r="S123" s="12"/>
      <c r="T123" s="12"/>
      <c r="U123" s="12"/>
      <c r="V123" s="12"/>
      <c r="W123" s="12"/>
      <c r="X123" s="12"/>
      <c r="Y123" s="12"/>
      <c r="Z123" s="12"/>
    </row>
    <row r="124" spans="1:26" hidden="1" x14ac:dyDescent="0.15">
      <c r="S124" s="12"/>
      <c r="T124" s="12"/>
      <c r="U124" s="12"/>
      <c r="V124" s="12"/>
      <c r="W124" s="12"/>
      <c r="X124" s="12"/>
      <c r="Y124" s="12"/>
      <c r="Z124" s="12"/>
    </row>
    <row r="125" spans="1:26" hidden="1" x14ac:dyDescent="0.15">
      <c r="S125" s="12"/>
      <c r="T125" s="12"/>
      <c r="U125" s="12"/>
      <c r="V125" s="12"/>
      <c r="W125" s="12"/>
      <c r="X125" s="12"/>
      <c r="Y125" s="12"/>
      <c r="Z125" s="12"/>
    </row>
    <row r="126" spans="1:26" hidden="1" x14ac:dyDescent="0.15">
      <c r="S126" s="12"/>
      <c r="T126" s="12"/>
      <c r="U126" s="12"/>
      <c r="V126" s="12"/>
      <c r="W126" s="12"/>
      <c r="X126" s="12"/>
      <c r="Y126" s="12"/>
      <c r="Z126" s="12"/>
    </row>
    <row r="127" spans="1:26" hidden="1" x14ac:dyDescent="0.15">
      <c r="S127" s="12"/>
      <c r="T127" s="12"/>
      <c r="U127" s="12"/>
      <c r="V127" s="12"/>
      <c r="W127" s="12"/>
      <c r="X127" s="12"/>
      <c r="Y127" s="12"/>
      <c r="Z127" s="12"/>
    </row>
    <row r="128" spans="1:26" ht="14" hidden="1" thickBot="1" x14ac:dyDescent="0.2">
      <c r="S128" s="12"/>
      <c r="T128" s="12"/>
      <c r="U128" s="12"/>
      <c r="V128" s="12"/>
      <c r="W128" s="12"/>
      <c r="X128" s="12"/>
      <c r="Y128" s="12"/>
      <c r="Z128" s="12"/>
    </row>
    <row r="129" spans="1:26" hidden="1" x14ac:dyDescent="0.15">
      <c r="A129" s="30" t="s">
        <v>284</v>
      </c>
      <c r="B129" s="20"/>
      <c r="C129" s="20"/>
      <c r="D129" s="43"/>
      <c r="E129" s="20"/>
      <c r="F129" s="21"/>
      <c r="S129" s="12"/>
      <c r="T129" s="12"/>
      <c r="U129" s="12"/>
      <c r="V129" s="12"/>
      <c r="W129" s="12"/>
      <c r="X129" s="12"/>
      <c r="Y129" s="12"/>
      <c r="Z129" s="12"/>
    </row>
    <row r="130" spans="1:26" hidden="1" x14ac:dyDescent="0.15">
      <c r="A130" s="22" t="s">
        <v>289</v>
      </c>
      <c r="B130" s="16" t="str">
        <f>IF(AND(G10="y",G16=""),G4*E10/1000,IF(AND(G10="",G16="y"),"0","0"))</f>
        <v>0</v>
      </c>
      <c r="C130" s="46">
        <f>F27</f>
        <v>10</v>
      </c>
      <c r="D130" s="11">
        <f>B130*C130/100</f>
        <v>0</v>
      </c>
      <c r="E130" s="18">
        <f>B130+D130</f>
        <v>0</v>
      </c>
      <c r="F130" s="23" t="str">
        <f>IF(G27="",B130,E130)</f>
        <v>0</v>
      </c>
      <c r="S130" s="12"/>
      <c r="T130" s="12"/>
      <c r="U130" s="12"/>
      <c r="V130" s="12"/>
      <c r="W130" s="12"/>
      <c r="X130" s="12"/>
      <c r="Y130" s="12"/>
      <c r="Z130" s="12"/>
    </row>
    <row r="131" spans="1:26" hidden="1" x14ac:dyDescent="0.15">
      <c r="A131" s="22" t="s">
        <v>290</v>
      </c>
      <c r="B131" s="15" t="str">
        <f>IF(AND(G11="y",G16=""),G4*E11/1000,IF(AND(G16="y",G11=""),"0","0"))</f>
        <v>0</v>
      </c>
      <c r="C131" s="46">
        <f>F27</f>
        <v>10</v>
      </c>
      <c r="D131" s="11">
        <f>B131*C131/100</f>
        <v>0</v>
      </c>
      <c r="E131" s="18">
        <f>B131+D131</f>
        <v>0</v>
      </c>
      <c r="F131" s="23" t="str">
        <f>IF(G27="",B131,E131)</f>
        <v>0</v>
      </c>
      <c r="S131" s="12"/>
      <c r="T131" s="12"/>
      <c r="U131" s="12"/>
      <c r="V131" s="12"/>
      <c r="W131" s="12"/>
      <c r="X131" s="12"/>
      <c r="Y131" s="12"/>
      <c r="Z131" s="12"/>
    </row>
    <row r="132" spans="1:26" hidden="1" x14ac:dyDescent="0.15">
      <c r="A132" s="22"/>
      <c r="F132" s="41"/>
      <c r="S132" s="12"/>
      <c r="T132" s="12"/>
      <c r="U132" s="12"/>
      <c r="V132" s="12"/>
      <c r="W132" s="12"/>
      <c r="X132" s="12"/>
      <c r="Y132" s="12"/>
      <c r="Z132" s="12"/>
    </row>
    <row r="133" spans="1:26" hidden="1" x14ac:dyDescent="0.15">
      <c r="A133" s="22"/>
      <c r="F133" s="23"/>
      <c r="S133" s="12"/>
      <c r="T133" s="12"/>
      <c r="U133" s="12"/>
      <c r="V133" s="12"/>
      <c r="W133" s="12"/>
      <c r="X133" s="12"/>
      <c r="Y133" s="12"/>
      <c r="Z133" s="12"/>
    </row>
    <row r="134" spans="1:26" hidden="1" x14ac:dyDescent="0.15">
      <c r="A134" s="22"/>
      <c r="F134" s="23"/>
      <c r="S134" s="12"/>
      <c r="T134" s="12"/>
      <c r="U134" s="12"/>
      <c r="V134" s="12"/>
      <c r="W134" s="12"/>
      <c r="X134" s="12"/>
      <c r="Y134" s="12"/>
      <c r="Z134" s="12"/>
    </row>
    <row r="135" spans="1:26" hidden="1" x14ac:dyDescent="0.15">
      <c r="A135" s="22"/>
      <c r="F135" s="23"/>
      <c r="S135" s="12"/>
      <c r="T135" s="12"/>
      <c r="U135" s="12"/>
      <c r="V135" s="12"/>
      <c r="W135" s="12"/>
      <c r="X135" s="12"/>
      <c r="Y135" s="12"/>
      <c r="Z135" s="12"/>
    </row>
    <row r="136" spans="1:26" hidden="1" x14ac:dyDescent="0.15">
      <c r="A136" s="22"/>
      <c r="F136" s="23"/>
      <c r="S136" s="12"/>
      <c r="T136" s="12"/>
      <c r="U136" s="12"/>
      <c r="V136" s="12"/>
      <c r="W136" s="12"/>
      <c r="X136" s="12"/>
      <c r="Y136" s="12"/>
      <c r="Z136" s="12"/>
    </row>
    <row r="137" spans="1:26" hidden="1" x14ac:dyDescent="0.15">
      <c r="A137" s="22"/>
      <c r="F137" s="23"/>
      <c r="S137" s="12"/>
      <c r="T137" s="12"/>
      <c r="U137" s="12"/>
      <c r="V137" s="12"/>
      <c r="W137" s="12"/>
      <c r="X137" s="12"/>
      <c r="Y137" s="12"/>
      <c r="Z137" s="12"/>
    </row>
    <row r="138" spans="1:26" hidden="1" x14ac:dyDescent="0.15">
      <c r="A138" s="31" t="s">
        <v>283</v>
      </c>
      <c r="D138" s="34"/>
      <c r="F138" s="23"/>
      <c r="S138" s="12"/>
      <c r="T138" s="12"/>
      <c r="U138" s="12"/>
      <c r="V138" s="12"/>
      <c r="W138" s="12"/>
      <c r="X138" s="12"/>
      <c r="Y138" s="12"/>
      <c r="Z138" s="12"/>
    </row>
    <row r="139" spans="1:26" hidden="1" x14ac:dyDescent="0.15">
      <c r="A139" s="22" t="s">
        <v>289</v>
      </c>
      <c r="B139" s="16" t="str">
        <f>IF(AND(G19="y",G25=""),G4*E19/1000,IF(AND(G19="",G25="y"),"0","0"))</f>
        <v>0</v>
      </c>
      <c r="C139" s="46">
        <f>F27</f>
        <v>10</v>
      </c>
      <c r="D139" s="11">
        <f>B139*C139/100</f>
        <v>0</v>
      </c>
      <c r="E139" s="18">
        <f>B139+D139</f>
        <v>0</v>
      </c>
      <c r="F139" s="23" t="str">
        <f>IF(G27="",B139,E139)</f>
        <v>0</v>
      </c>
      <c r="S139" s="12"/>
      <c r="T139" s="12"/>
      <c r="U139" s="12"/>
      <c r="V139" s="12"/>
      <c r="W139" s="12"/>
      <c r="X139" s="12"/>
      <c r="Y139" s="12"/>
      <c r="Z139" s="12"/>
    </row>
    <row r="140" spans="1:26" ht="14" hidden="1" thickBot="1" x14ac:dyDescent="0.2">
      <c r="A140" s="24" t="s">
        <v>290</v>
      </c>
      <c r="B140" s="44" t="str">
        <f>IF(AND(G20="y",G25=""),G4*E20/1000,IF(AND(G25="y",G20=""),"0","0"))</f>
        <v>0</v>
      </c>
      <c r="C140" s="47">
        <f>F27</f>
        <v>10</v>
      </c>
      <c r="D140" s="25">
        <f>B140*C140/100</f>
        <v>0</v>
      </c>
      <c r="E140" s="42">
        <f>B140+D140</f>
        <v>0</v>
      </c>
      <c r="F140" s="26" t="str">
        <f>IF(G27="",B140,E140)</f>
        <v>0</v>
      </c>
      <c r="S140" s="12"/>
      <c r="T140" s="12"/>
      <c r="U140" s="12"/>
      <c r="V140" s="12"/>
      <c r="W140" s="12"/>
      <c r="X140" s="12"/>
      <c r="Y140" s="12"/>
      <c r="Z140" s="12"/>
    </row>
    <row r="141" spans="1:26" hidden="1" x14ac:dyDescent="0.15">
      <c r="S141" s="12"/>
      <c r="T141" s="12"/>
      <c r="U141" s="12"/>
      <c r="V141" s="12"/>
      <c r="W141" s="12"/>
      <c r="X141" s="12"/>
      <c r="Y141" s="12"/>
      <c r="Z141" s="12"/>
    </row>
    <row r="142" spans="1:26" hidden="1" x14ac:dyDescent="0.15">
      <c r="S142" s="12"/>
      <c r="T142" s="12"/>
      <c r="U142" s="12"/>
      <c r="V142" s="12"/>
      <c r="W142" s="12"/>
      <c r="X142" s="12"/>
      <c r="Y142" s="12"/>
      <c r="Z142" s="12"/>
    </row>
    <row r="143" spans="1:26" ht="14" hidden="1" thickBot="1" x14ac:dyDescent="0.2">
      <c r="S143" s="12"/>
      <c r="T143" s="12"/>
      <c r="U143" s="12"/>
      <c r="V143" s="12"/>
      <c r="W143" s="12"/>
      <c r="X143" s="12"/>
      <c r="Y143" s="12"/>
      <c r="Z143" s="12"/>
    </row>
    <row r="144" spans="1:26" hidden="1" x14ac:dyDescent="0.15">
      <c r="A144" s="19"/>
      <c r="B144" s="20"/>
      <c r="C144" s="20"/>
      <c r="D144" s="20"/>
      <c r="E144" s="20"/>
      <c r="F144" s="20"/>
      <c r="G144" s="21"/>
      <c r="S144" s="12"/>
      <c r="T144" s="12"/>
      <c r="U144" s="12"/>
      <c r="V144" s="12"/>
      <c r="W144" s="12"/>
      <c r="X144" s="12"/>
      <c r="Y144" s="12"/>
      <c r="Z144" s="12"/>
    </row>
    <row r="145" spans="1:26" hidden="1" x14ac:dyDescent="0.15">
      <c r="A145" s="31" t="s">
        <v>258</v>
      </c>
      <c r="C145" s="34" t="s">
        <v>264</v>
      </c>
      <c r="E145" s="34">
        <f>IF(E150&lt;20,20,E150)</f>
        <v>20</v>
      </c>
      <c r="G145" s="23"/>
      <c r="S145" s="12"/>
      <c r="T145" s="12"/>
      <c r="U145" s="12"/>
      <c r="V145" s="12"/>
      <c r="W145" s="12"/>
      <c r="X145" s="12"/>
      <c r="Y145" s="12"/>
      <c r="Z145" s="12"/>
    </row>
    <row r="146" spans="1:26" hidden="1" x14ac:dyDescent="0.15">
      <c r="A146" s="22"/>
      <c r="G146" s="23"/>
      <c r="S146" s="12"/>
      <c r="T146" s="12"/>
      <c r="U146" s="12"/>
      <c r="V146" s="12"/>
      <c r="W146" s="12"/>
      <c r="X146" s="12"/>
      <c r="Y146" s="12"/>
      <c r="Z146" s="12"/>
    </row>
    <row r="147" spans="1:26" hidden="1" x14ac:dyDescent="0.15">
      <c r="A147" s="22"/>
      <c r="C147" s="11" t="s">
        <v>260</v>
      </c>
      <c r="D147" s="11" t="s">
        <v>261</v>
      </c>
      <c r="G147" s="23"/>
      <c r="S147" s="12"/>
      <c r="T147" s="12"/>
      <c r="U147" s="12"/>
      <c r="V147" s="12"/>
      <c r="W147" s="12"/>
      <c r="X147" s="12"/>
      <c r="Y147" s="12"/>
      <c r="Z147" s="12"/>
    </row>
    <row r="148" spans="1:26" hidden="1" x14ac:dyDescent="0.15">
      <c r="A148" s="22"/>
      <c r="C148" s="11">
        <f>IF(C150&gt;=C151,C150,IF(C151&gt;=C150,C151))</f>
        <v>20</v>
      </c>
      <c r="D148" s="11">
        <f>IF(C150&gt;=C151,C151,IF(C151&gt;=C150,C150))</f>
        <v>10</v>
      </c>
      <c r="G148" s="23"/>
      <c r="S148" s="12"/>
      <c r="T148" s="12"/>
      <c r="U148" s="12"/>
      <c r="V148" s="12"/>
      <c r="W148" s="12"/>
      <c r="X148" s="12"/>
      <c r="Y148" s="12"/>
      <c r="Z148" s="12"/>
    </row>
    <row r="149" spans="1:26" hidden="1" x14ac:dyDescent="0.15">
      <c r="A149" s="22"/>
      <c r="D149" s="11" t="s">
        <v>262</v>
      </c>
      <c r="E149" s="11" t="s">
        <v>263</v>
      </c>
      <c r="G149" s="23"/>
      <c r="S149" s="12"/>
      <c r="T149" s="12"/>
      <c r="U149" s="12"/>
      <c r="V149" s="12"/>
      <c r="W149" s="12"/>
      <c r="X149" s="12"/>
      <c r="Y149" s="12"/>
      <c r="Z149" s="12"/>
    </row>
    <row r="150" spans="1:26" hidden="1" x14ac:dyDescent="0.15">
      <c r="A150" s="22" t="s">
        <v>0</v>
      </c>
      <c r="C150" s="33">
        <f>G6</f>
        <v>20</v>
      </c>
      <c r="D150" s="33">
        <f>C148-D148</f>
        <v>10</v>
      </c>
      <c r="E150" s="35">
        <f>IF(OR(D150=0,D150=1),C148,IF(AND(D150&gt;=2,D150&lt;=3),C148-1,IF(AND(D150&gt;=4,D150&lt;=6),C148-2,IF(AND(D150&gt;=7,D150&lt;=9),C148-3,IF(AND(D150&gt;=10,D150&lt;=13),C148-4,IF(AND(D150&gt;=14,D150&lt;=17),C148-5,IF(AND(D150&gt;=18,D150&lt;=24),C148-6,F150)))))))</f>
        <v>16</v>
      </c>
      <c r="F150" s="33" t="str">
        <f>IF(AND(D150&gt;=25,D150&lt;=33),C148-7,"0")</f>
        <v>0</v>
      </c>
      <c r="G150" s="23"/>
      <c r="S150" s="12"/>
      <c r="T150" s="12"/>
      <c r="U150" s="12"/>
      <c r="V150" s="12"/>
      <c r="W150" s="12"/>
      <c r="X150" s="12"/>
      <c r="Y150" s="12"/>
      <c r="Z150" s="12"/>
    </row>
    <row r="151" spans="1:26" hidden="1" x14ac:dyDescent="0.15">
      <c r="A151" s="22" t="s">
        <v>259</v>
      </c>
      <c r="C151" s="33">
        <f>G7</f>
        <v>10</v>
      </c>
      <c r="D151" s="33"/>
      <c r="E151" s="33"/>
      <c r="F151" s="33"/>
      <c r="G151" s="23"/>
      <c r="S151" s="12"/>
      <c r="T151" s="12"/>
      <c r="U151" s="12"/>
      <c r="V151" s="12"/>
      <c r="W151" s="12"/>
      <c r="X151" s="12"/>
      <c r="Y151" s="12"/>
      <c r="Z151" s="12"/>
    </row>
    <row r="152" spans="1:26" hidden="1" x14ac:dyDescent="0.15">
      <c r="A152" s="22"/>
      <c r="G152" s="23"/>
      <c r="S152" s="12"/>
      <c r="T152" s="12"/>
      <c r="U152" s="12"/>
      <c r="V152" s="12"/>
      <c r="W152" s="12"/>
      <c r="X152" s="12"/>
      <c r="Y152" s="12"/>
      <c r="Z152" s="12"/>
    </row>
    <row r="153" spans="1:26" ht="14" hidden="1" thickBot="1" x14ac:dyDescent="0.2">
      <c r="A153" s="24"/>
      <c r="B153" s="25"/>
      <c r="C153" s="25"/>
      <c r="D153" s="25"/>
      <c r="E153" s="25"/>
      <c r="F153" s="25"/>
      <c r="G153" s="26"/>
      <c r="S153" s="12"/>
      <c r="T153" s="12"/>
      <c r="U153" s="12"/>
      <c r="V153" s="12"/>
      <c r="W153" s="12"/>
      <c r="X153" s="12"/>
      <c r="Y153" s="12"/>
      <c r="Z153" s="12"/>
    </row>
    <row r="154" spans="1:26" hidden="1" x14ac:dyDescent="0.15">
      <c r="S154" s="12"/>
      <c r="T154" s="12"/>
      <c r="U154" s="12"/>
      <c r="V154" s="12"/>
      <c r="W154" s="12"/>
      <c r="X154" s="12"/>
      <c r="Y154" s="12"/>
      <c r="Z154" s="12"/>
    </row>
    <row r="155" spans="1:26" hidden="1" x14ac:dyDescent="0.15">
      <c r="S155" s="12"/>
      <c r="T155" s="12"/>
      <c r="U155" s="12"/>
      <c r="V155" s="12"/>
      <c r="W155" s="12"/>
      <c r="X155" s="12"/>
      <c r="Y155" s="12"/>
      <c r="Z155" s="12"/>
    </row>
    <row r="156" spans="1:26" hidden="1" x14ac:dyDescent="0.15">
      <c r="S156" s="12"/>
      <c r="T156" s="12"/>
      <c r="U156" s="12"/>
      <c r="V156" s="12"/>
      <c r="W156" s="12"/>
      <c r="X156" s="12"/>
      <c r="Y156" s="12"/>
      <c r="Z156" s="12"/>
    </row>
    <row r="157" spans="1:26" hidden="1" x14ac:dyDescent="0.15">
      <c r="S157" s="12"/>
      <c r="T157" s="12"/>
      <c r="U157" s="12"/>
      <c r="V157" s="12"/>
      <c r="W157" s="12"/>
      <c r="X157" s="12"/>
      <c r="Y157" s="12"/>
      <c r="Z157" s="12"/>
    </row>
    <row r="158" spans="1:26" hidden="1" x14ac:dyDescent="0.15">
      <c r="S158" s="12"/>
      <c r="T158" s="12"/>
      <c r="U158" s="12"/>
      <c r="V158" s="12"/>
      <c r="W158" s="12"/>
      <c r="X158" s="12"/>
      <c r="Y158" s="12"/>
      <c r="Z158" s="12"/>
    </row>
    <row r="159" spans="1:26" hidden="1" x14ac:dyDescent="0.15">
      <c r="S159" s="12"/>
      <c r="T159" s="12"/>
      <c r="U159" s="12"/>
      <c r="V159" s="12"/>
      <c r="W159" s="12"/>
      <c r="X159" s="12"/>
      <c r="Y159" s="12"/>
      <c r="Z159" s="12"/>
    </row>
    <row r="160" spans="1:26" hidden="1" x14ac:dyDescent="0.15">
      <c r="S160" s="12"/>
      <c r="T160" s="12"/>
      <c r="U160" s="12"/>
      <c r="V160" s="12"/>
      <c r="W160" s="12"/>
      <c r="X160" s="12"/>
      <c r="Y160" s="12"/>
      <c r="Z160" s="12"/>
    </row>
    <row r="161" spans="1:26" hidden="1" x14ac:dyDescent="0.15">
      <c r="S161" s="12"/>
      <c r="T161" s="12"/>
      <c r="U161" s="12"/>
      <c r="V161" s="12"/>
      <c r="W161" s="12"/>
      <c r="X161" s="12"/>
      <c r="Y161" s="12"/>
      <c r="Z161" s="12"/>
    </row>
    <row r="162" spans="1:26" hidden="1" x14ac:dyDescent="0.15">
      <c r="S162" s="12"/>
      <c r="T162" s="12"/>
      <c r="U162" s="12"/>
      <c r="V162" s="12"/>
      <c r="W162" s="12"/>
      <c r="X162" s="12"/>
      <c r="Y162" s="12"/>
      <c r="Z162" s="12"/>
    </row>
    <row r="163" spans="1:26" ht="14" hidden="1" thickBot="1" x14ac:dyDescent="0.2">
      <c r="S163" s="12"/>
      <c r="T163" s="12"/>
      <c r="U163" s="12"/>
      <c r="V163" s="12"/>
      <c r="W163" s="12"/>
      <c r="X163" s="12"/>
      <c r="Y163" s="12"/>
      <c r="Z163" s="12"/>
    </row>
    <row r="164" spans="1:26" hidden="1" x14ac:dyDescent="0.15">
      <c r="A164" s="19"/>
      <c r="B164" s="20"/>
      <c r="C164" s="20"/>
      <c r="D164" s="20"/>
      <c r="E164" s="20"/>
      <c r="F164" s="20"/>
      <c r="G164" s="20"/>
      <c r="H164" s="21"/>
      <c r="S164" s="12"/>
      <c r="T164" s="12"/>
      <c r="U164" s="12"/>
      <c r="V164" s="12"/>
      <c r="W164" s="12"/>
      <c r="X164" s="12"/>
      <c r="Y164" s="12"/>
      <c r="Z164" s="12"/>
    </row>
    <row r="165" spans="1:26" hidden="1" x14ac:dyDescent="0.15">
      <c r="A165" s="31" t="s">
        <v>257</v>
      </c>
      <c r="H165" s="23"/>
      <c r="S165" s="12"/>
      <c r="T165" s="12"/>
      <c r="U165" s="12"/>
      <c r="V165" s="12"/>
      <c r="W165" s="12"/>
      <c r="X165" s="12"/>
      <c r="Y165" s="12"/>
      <c r="Z165" s="12"/>
    </row>
    <row r="166" spans="1:26" hidden="1" x14ac:dyDescent="0.15">
      <c r="A166" s="22"/>
      <c r="C166" s="11">
        <v>18</v>
      </c>
      <c r="D166" s="11">
        <f>G7</f>
        <v>10</v>
      </c>
      <c r="E166" s="11">
        <f>C166-D166</f>
        <v>8</v>
      </c>
      <c r="F166" s="11" t="str">
        <f>"Available Terms  "&amp;E166&amp;","&amp;E167&amp;", "&amp;E168&amp;"."</f>
        <v>Available Terms  8,11, 15.</v>
      </c>
      <c r="H166" s="23"/>
      <c r="S166" s="12"/>
      <c r="T166" s="12"/>
      <c r="U166" s="12"/>
      <c r="V166" s="12"/>
      <c r="W166" s="12"/>
      <c r="X166" s="12"/>
      <c r="Y166" s="12"/>
      <c r="Z166" s="12"/>
    </row>
    <row r="167" spans="1:26" hidden="1" x14ac:dyDescent="0.15">
      <c r="A167" s="22"/>
      <c r="C167" s="11">
        <v>21</v>
      </c>
      <c r="D167" s="11">
        <f>G7</f>
        <v>10</v>
      </c>
      <c r="E167" s="11">
        <f>C167-D167</f>
        <v>11</v>
      </c>
      <c r="H167" s="23"/>
      <c r="S167" s="12"/>
      <c r="T167" s="12"/>
      <c r="U167" s="12"/>
      <c r="V167" s="12"/>
      <c r="W167" s="12"/>
      <c r="X167" s="12"/>
      <c r="Y167" s="12"/>
      <c r="Z167" s="12"/>
    </row>
    <row r="168" spans="1:26" hidden="1" x14ac:dyDescent="0.15">
      <c r="A168" s="22"/>
      <c r="C168" s="11">
        <v>25</v>
      </c>
      <c r="D168" s="11">
        <f>G7</f>
        <v>10</v>
      </c>
      <c r="E168" s="11">
        <f>C168-D168</f>
        <v>15</v>
      </c>
      <c r="H168" s="23"/>
      <c r="S168" s="12"/>
      <c r="T168" s="12"/>
      <c r="U168" s="12"/>
      <c r="V168" s="12"/>
      <c r="W168" s="12"/>
      <c r="X168" s="12"/>
      <c r="Y168" s="12"/>
      <c r="Z168" s="12"/>
    </row>
    <row r="169" spans="1:26" hidden="1" x14ac:dyDescent="0.15">
      <c r="A169" s="22"/>
      <c r="H169" s="23"/>
      <c r="S169" s="12"/>
      <c r="T169" s="12"/>
      <c r="U169" s="12"/>
      <c r="V169" s="12"/>
      <c r="W169" s="12"/>
      <c r="X169" s="12"/>
      <c r="Y169" s="12"/>
      <c r="Z169" s="12"/>
    </row>
    <row r="170" spans="1:26" hidden="1" x14ac:dyDescent="0.15">
      <c r="A170" s="22"/>
      <c r="H170" s="23"/>
      <c r="S170" s="12"/>
      <c r="T170" s="12"/>
      <c r="U170" s="12"/>
      <c r="V170" s="12"/>
      <c r="W170" s="12"/>
      <c r="X170" s="12"/>
      <c r="Y170" s="12"/>
      <c r="Z170" s="12"/>
    </row>
    <row r="171" spans="1:26" ht="14" hidden="1" thickBot="1" x14ac:dyDescent="0.2">
      <c r="A171" s="24"/>
      <c r="B171" s="25"/>
      <c r="C171" s="25"/>
      <c r="D171" s="25"/>
      <c r="E171" s="25"/>
      <c r="F171" s="25"/>
      <c r="G171" s="25"/>
      <c r="H171" s="26"/>
      <c r="S171" s="12"/>
      <c r="T171" s="12"/>
      <c r="U171" s="12"/>
      <c r="V171" s="12"/>
      <c r="W171" s="12"/>
      <c r="X171" s="12"/>
      <c r="Y171" s="12"/>
      <c r="Z171" s="12"/>
    </row>
    <row r="172" spans="1:26" hidden="1" x14ac:dyDescent="0.15">
      <c r="S172" s="12"/>
      <c r="T172" s="12"/>
      <c r="U172" s="12"/>
      <c r="V172" s="12"/>
      <c r="W172" s="12"/>
      <c r="X172" s="12"/>
      <c r="Y172" s="12"/>
      <c r="Z172" s="12"/>
    </row>
    <row r="173" spans="1:26" ht="14" hidden="1" thickBot="1" x14ac:dyDescent="0.2">
      <c r="S173" s="12"/>
      <c r="T173" s="12"/>
      <c r="U173" s="12"/>
      <c r="V173" s="12"/>
      <c r="W173" s="12"/>
      <c r="X173" s="12"/>
      <c r="Y173" s="12"/>
      <c r="Z173" s="12"/>
    </row>
    <row r="174" spans="1:26" hidden="1" x14ac:dyDescent="0.15">
      <c r="A174" s="30" t="s">
        <v>255</v>
      </c>
      <c r="B174" s="20"/>
      <c r="C174" s="20"/>
      <c r="D174" s="20"/>
      <c r="E174" s="20"/>
      <c r="F174" s="20"/>
      <c r="G174" s="21"/>
      <c r="S174" s="12"/>
      <c r="T174" s="12"/>
      <c r="U174" s="12"/>
      <c r="V174" s="12"/>
      <c r="W174" s="12"/>
      <c r="X174" s="12"/>
      <c r="Y174" s="12"/>
      <c r="Z174" s="12"/>
    </row>
    <row r="175" spans="1:26" hidden="1" x14ac:dyDescent="0.15">
      <c r="A175" s="22"/>
      <c r="B175" s="11" t="str">
        <f>IF(G5=1,LOOKUP(G5,table,plan),IF(G5=3,LOOKUP(G5,table,plan),IF(G5=5,LOOKUP(G5,table,plan),IF(G5=7,LOOKUP(G5,table,plan),IF(G5=19,LOOKUP(G5,table,plan),IF(G5=36,LOOKUP(G5,table,plan),IF(G5=75,LOOKUP(G5,table,plan),E175)))))))</f>
        <v>Jeevan Sathi Plan</v>
      </c>
      <c r="E175" s="11" t="str">
        <f>IF(G5=76,LOOKUP(G5,table,plan),IF(G5=78,LOOKUP(G5,table,plan),""))</f>
        <v/>
      </c>
      <c r="G175" s="23"/>
      <c r="S175" s="12"/>
      <c r="T175" s="12"/>
      <c r="U175" s="12"/>
      <c r="V175" s="12"/>
      <c r="W175" s="12"/>
      <c r="X175" s="12"/>
      <c r="Y175" s="12"/>
      <c r="Z175" s="12"/>
    </row>
    <row r="176" spans="1:26" hidden="1" x14ac:dyDescent="0.15">
      <c r="A176" s="22"/>
      <c r="G176" s="23"/>
      <c r="S176" s="12"/>
      <c r="T176" s="12"/>
      <c r="U176" s="12"/>
      <c r="V176" s="12"/>
      <c r="W176" s="12"/>
      <c r="X176" s="12"/>
      <c r="Y176" s="12"/>
      <c r="Z176" s="12"/>
    </row>
    <row r="177" spans="1:26" hidden="1" x14ac:dyDescent="0.15">
      <c r="A177" s="22" t="s">
        <v>238</v>
      </c>
      <c r="B177" s="11" t="s">
        <v>239</v>
      </c>
      <c r="G177" s="23"/>
      <c r="S177" s="12"/>
      <c r="T177" s="12"/>
      <c r="U177" s="12"/>
      <c r="V177" s="12"/>
      <c r="W177" s="12"/>
      <c r="X177" s="12"/>
      <c r="Y177" s="12"/>
      <c r="Z177" s="12"/>
    </row>
    <row r="178" spans="1:26" hidden="1" x14ac:dyDescent="0.15">
      <c r="A178" s="22">
        <v>1</v>
      </c>
      <c r="B178" s="11" t="s">
        <v>240</v>
      </c>
      <c r="G178" s="23"/>
      <c r="S178" s="12"/>
      <c r="T178" s="12"/>
      <c r="U178" s="12"/>
      <c r="V178" s="12"/>
      <c r="W178" s="12"/>
      <c r="X178" s="12"/>
      <c r="Y178" s="12"/>
      <c r="Z178" s="12"/>
    </row>
    <row r="179" spans="1:26" hidden="1" x14ac:dyDescent="0.15">
      <c r="A179" s="22">
        <v>3</v>
      </c>
      <c r="B179" s="11" t="s">
        <v>241</v>
      </c>
      <c r="G179" s="23"/>
      <c r="S179" s="12"/>
      <c r="T179" s="12"/>
      <c r="U179" s="12"/>
      <c r="V179" s="12"/>
      <c r="W179" s="12"/>
      <c r="X179" s="12"/>
      <c r="Y179" s="12"/>
      <c r="Z179" s="12"/>
    </row>
    <row r="180" spans="1:26" hidden="1" x14ac:dyDescent="0.15">
      <c r="A180" s="22">
        <v>5</v>
      </c>
      <c r="B180" s="11" t="s">
        <v>242</v>
      </c>
      <c r="G180" s="23"/>
      <c r="S180" s="12"/>
      <c r="T180" s="12"/>
      <c r="U180" s="12"/>
      <c r="V180" s="12"/>
      <c r="W180" s="12"/>
      <c r="X180" s="12"/>
      <c r="Y180" s="12"/>
      <c r="Z180" s="12"/>
    </row>
    <row r="181" spans="1:26" hidden="1" x14ac:dyDescent="0.15">
      <c r="A181" s="22">
        <v>7</v>
      </c>
      <c r="B181" s="11" t="s">
        <v>243</v>
      </c>
      <c r="G181" s="23"/>
      <c r="S181" s="12"/>
      <c r="T181" s="12"/>
      <c r="U181" s="12"/>
      <c r="V181" s="12"/>
      <c r="W181" s="12"/>
      <c r="X181" s="12"/>
      <c r="Y181" s="12"/>
      <c r="Z181" s="12"/>
    </row>
    <row r="182" spans="1:26" hidden="1" x14ac:dyDescent="0.15">
      <c r="A182" s="22">
        <v>19</v>
      </c>
      <c r="B182" s="11" t="s">
        <v>244</v>
      </c>
      <c r="G182" s="23"/>
      <c r="S182" s="12"/>
      <c r="T182" s="12"/>
      <c r="U182" s="12"/>
      <c r="V182" s="12"/>
      <c r="W182" s="12"/>
      <c r="X182" s="12"/>
      <c r="Y182" s="12"/>
      <c r="Z182" s="12"/>
    </row>
    <row r="183" spans="1:26" hidden="1" x14ac:dyDescent="0.15">
      <c r="A183" s="22">
        <v>36</v>
      </c>
      <c r="B183" s="11" t="s">
        <v>245</v>
      </c>
      <c r="G183" s="23"/>
      <c r="S183" s="12"/>
      <c r="T183" s="12"/>
      <c r="U183" s="12"/>
      <c r="V183" s="12"/>
      <c r="W183" s="12"/>
      <c r="X183" s="12"/>
      <c r="Y183" s="12"/>
      <c r="Z183" s="12"/>
    </row>
    <row r="184" spans="1:26" hidden="1" x14ac:dyDescent="0.15">
      <c r="A184" s="22">
        <v>75</v>
      </c>
      <c r="B184" s="11" t="s">
        <v>246</v>
      </c>
      <c r="G184" s="23"/>
      <c r="S184" s="12"/>
      <c r="T184" s="12"/>
      <c r="U184" s="12"/>
      <c r="V184" s="12"/>
      <c r="W184" s="12"/>
      <c r="X184" s="12"/>
      <c r="Y184" s="12"/>
      <c r="Z184" s="12"/>
    </row>
    <row r="185" spans="1:26" hidden="1" x14ac:dyDescent="0.15">
      <c r="A185" s="22">
        <v>76</v>
      </c>
      <c r="B185" s="11" t="s">
        <v>247</v>
      </c>
      <c r="G185" s="23"/>
      <c r="S185" s="12"/>
      <c r="T185" s="12"/>
      <c r="U185" s="12"/>
      <c r="V185" s="12"/>
      <c r="W185" s="12"/>
      <c r="X185" s="12"/>
      <c r="Y185" s="12"/>
      <c r="Z185" s="12"/>
    </row>
    <row r="186" spans="1:26" hidden="1" x14ac:dyDescent="0.15">
      <c r="A186" s="22">
        <v>78</v>
      </c>
      <c r="B186" s="11" t="s">
        <v>248</v>
      </c>
      <c r="G186" s="23"/>
      <c r="S186" s="12"/>
      <c r="T186" s="12"/>
      <c r="U186" s="12"/>
      <c r="V186" s="12"/>
      <c r="W186" s="12"/>
      <c r="X186" s="12"/>
      <c r="Y186" s="12"/>
      <c r="Z186" s="12"/>
    </row>
    <row r="187" spans="1:26" ht="14" hidden="1" thickBot="1" x14ac:dyDescent="0.2">
      <c r="A187" s="24"/>
      <c r="B187" s="25"/>
      <c r="C187" s="25"/>
      <c r="D187" s="25"/>
      <c r="E187" s="25"/>
      <c r="F187" s="25"/>
      <c r="G187" s="26"/>
      <c r="S187" s="12"/>
      <c r="T187" s="12"/>
      <c r="U187" s="12"/>
      <c r="V187" s="12"/>
      <c r="W187" s="12"/>
      <c r="X187" s="12"/>
      <c r="Y187" s="12"/>
      <c r="Z187" s="12"/>
    </row>
    <row r="188" spans="1:26" ht="14" hidden="1" thickBot="1" x14ac:dyDescent="0.2">
      <c r="S188" s="12"/>
      <c r="T188" s="12"/>
      <c r="U188" s="12"/>
      <c r="V188" s="12"/>
      <c r="W188" s="12"/>
      <c r="X188" s="12"/>
      <c r="Y188" s="12"/>
      <c r="Z188" s="12"/>
    </row>
    <row r="189" spans="1:26" hidden="1" x14ac:dyDescent="0.15">
      <c r="A189" s="19"/>
      <c r="B189" s="20"/>
      <c r="C189" s="20" t="s">
        <v>250</v>
      </c>
      <c r="D189" s="20" t="s">
        <v>251</v>
      </c>
      <c r="E189" s="20" t="s">
        <v>252</v>
      </c>
      <c r="F189" s="20" t="s">
        <v>253</v>
      </c>
      <c r="G189" s="21" t="s">
        <v>254</v>
      </c>
      <c r="S189" s="12"/>
      <c r="T189" s="12"/>
      <c r="U189" s="12"/>
      <c r="V189" s="12"/>
      <c r="W189" s="12"/>
      <c r="X189" s="12"/>
      <c r="Y189" s="12"/>
      <c r="Z189" s="12"/>
    </row>
    <row r="190" spans="1:26" ht="14" hidden="1" thickBot="1" x14ac:dyDescent="0.2">
      <c r="A190" s="29" t="s">
        <v>249</v>
      </c>
      <c r="B190" s="25"/>
      <c r="C190" s="25">
        <f>G4</f>
        <v>7000000</v>
      </c>
      <c r="D190" s="25">
        <v>2.5</v>
      </c>
      <c r="E190" s="25">
        <v>1000</v>
      </c>
      <c r="F190" s="25">
        <f>C190*D190/E190</f>
        <v>17500</v>
      </c>
      <c r="G190" s="26">
        <f>IF(F190&gt;100,100,F190)</f>
        <v>100</v>
      </c>
      <c r="S190" s="12"/>
      <c r="T190" s="12"/>
      <c r="U190" s="12"/>
      <c r="V190" s="12"/>
      <c r="W190" s="12"/>
      <c r="X190" s="12"/>
      <c r="Y190" s="12"/>
      <c r="Z190" s="12"/>
    </row>
    <row r="191" spans="1:26" ht="14" hidden="1" thickBot="1" x14ac:dyDescent="0.2">
      <c r="S191" s="12"/>
      <c r="T191" s="12"/>
      <c r="U191" s="12"/>
      <c r="V191" s="12"/>
      <c r="W191" s="12"/>
      <c r="X191" s="12"/>
      <c r="Y191" s="12"/>
      <c r="Z191" s="12"/>
    </row>
    <row r="192" spans="1:26" hidden="1" x14ac:dyDescent="0.15">
      <c r="A192" s="19"/>
      <c r="B192" s="20"/>
      <c r="C192" s="20"/>
      <c r="D192" s="21"/>
      <c r="S192" s="12"/>
      <c r="T192" s="12"/>
      <c r="U192" s="12"/>
      <c r="V192" s="12"/>
      <c r="W192" s="12"/>
      <c r="X192" s="12"/>
      <c r="Y192" s="12"/>
      <c r="Z192" s="12"/>
    </row>
    <row r="193" spans="1:26" hidden="1" x14ac:dyDescent="0.15">
      <c r="A193" s="31" t="s">
        <v>237</v>
      </c>
      <c r="D193" s="27">
        <f>SUM(J8:J16)</f>
        <v>371800</v>
      </c>
      <c r="S193" s="12"/>
      <c r="T193" s="12"/>
      <c r="U193" s="12"/>
      <c r="V193" s="12"/>
      <c r="W193" s="12"/>
      <c r="X193" s="12"/>
      <c r="Y193" s="12"/>
      <c r="Z193" s="12"/>
    </row>
    <row r="194" spans="1:26" ht="14" hidden="1" thickBot="1" x14ac:dyDescent="0.2">
      <c r="A194" s="24"/>
      <c r="B194" s="25"/>
      <c r="C194" s="25"/>
      <c r="D194" s="28"/>
      <c r="S194" s="12"/>
      <c r="T194" s="12"/>
      <c r="U194" s="12"/>
      <c r="V194" s="12"/>
      <c r="W194" s="12"/>
      <c r="X194" s="12"/>
      <c r="Y194" s="12"/>
      <c r="Z194" s="12"/>
    </row>
    <row r="195" spans="1:26" hidden="1" x14ac:dyDescent="0.15">
      <c r="D195" s="18"/>
      <c r="S195" s="12"/>
      <c r="T195" s="12"/>
      <c r="U195" s="12"/>
      <c r="V195" s="12"/>
      <c r="W195" s="12"/>
      <c r="X195" s="12"/>
      <c r="Y195" s="12"/>
      <c r="Z195" s="12"/>
    </row>
    <row r="196" spans="1:26" hidden="1" x14ac:dyDescent="0.15">
      <c r="D196" s="18"/>
      <c r="S196" s="12"/>
      <c r="T196" s="12"/>
      <c r="U196" s="12"/>
      <c r="V196" s="12"/>
      <c r="W196" s="12"/>
      <c r="X196" s="12"/>
      <c r="Y196" s="12"/>
      <c r="Z196" s="12"/>
    </row>
    <row r="197" spans="1:26" ht="14" hidden="1" thickBot="1" x14ac:dyDescent="0.2">
      <c r="D197" s="18"/>
      <c r="S197" s="12"/>
      <c r="T197" s="12"/>
      <c r="U197" s="12"/>
      <c r="V197" s="12"/>
      <c r="W197" s="12"/>
      <c r="X197" s="12"/>
      <c r="Y197" s="12"/>
      <c r="Z197" s="12"/>
    </row>
    <row r="198" spans="1:26" hidden="1" x14ac:dyDescent="0.15">
      <c r="A198" s="30" t="s">
        <v>256</v>
      </c>
      <c r="B198" s="20"/>
      <c r="C198" s="20"/>
      <c r="D198" s="32"/>
      <c r="E198" s="20"/>
      <c r="F198" s="20"/>
      <c r="G198" s="20"/>
      <c r="H198" s="20"/>
      <c r="I198" s="20"/>
      <c r="J198" s="20"/>
      <c r="K198" s="21"/>
      <c r="S198" s="12"/>
      <c r="T198" s="12"/>
      <c r="U198" s="12"/>
      <c r="V198" s="12"/>
      <c r="W198" s="12"/>
      <c r="X198" s="12"/>
      <c r="Y198" s="12"/>
      <c r="Z198" s="12"/>
    </row>
    <row r="199" spans="1:26" hidden="1" x14ac:dyDescent="0.15">
      <c r="A199" s="22"/>
      <c r="D199" s="18"/>
      <c r="K199" s="23"/>
      <c r="S199" s="12"/>
      <c r="T199" s="12"/>
      <c r="U199" s="12"/>
      <c r="V199" s="12"/>
      <c r="W199" s="12"/>
      <c r="X199" s="12"/>
      <c r="Y199" s="12"/>
      <c r="Z199" s="12"/>
    </row>
    <row r="200" spans="1:26" hidden="1" x14ac:dyDescent="0.15">
      <c r="A200" s="22" t="s">
        <v>230</v>
      </c>
      <c r="C200" s="11">
        <f>IF(G5=1,C202,IF(G5=3,C204,IF(G5=5,C206,IF(G5=7,C208,IF(G5=19,C210,IF(G5=36,C212,IF(G5=75,C214,IF(G5=76,C216,D200))))))))</f>
        <v>52.35</v>
      </c>
      <c r="D200" s="11" t="str">
        <f>IF(G5=78,C218,"0")</f>
        <v>0</v>
      </c>
      <c r="K200" s="23"/>
      <c r="S200" s="12"/>
      <c r="T200" s="12"/>
      <c r="U200" s="12"/>
      <c r="V200" s="12"/>
      <c r="W200" s="12"/>
      <c r="X200" s="12"/>
      <c r="Y200" s="12"/>
      <c r="Z200" s="12"/>
    </row>
    <row r="201" spans="1:26" hidden="1" x14ac:dyDescent="0.15">
      <c r="A201" s="22"/>
      <c r="C201" s="11" t="s">
        <v>178</v>
      </c>
      <c r="D201" s="11" t="s">
        <v>179</v>
      </c>
      <c r="E201" s="11" t="s">
        <v>180</v>
      </c>
      <c r="F201" s="11" t="s">
        <v>181</v>
      </c>
      <c r="G201" s="11" t="s">
        <v>182</v>
      </c>
      <c r="H201" s="11" t="s">
        <v>223</v>
      </c>
      <c r="I201" s="11" t="s">
        <v>224</v>
      </c>
      <c r="J201" s="11" t="s">
        <v>225</v>
      </c>
      <c r="K201" s="23"/>
      <c r="Q201" s="12"/>
      <c r="R201" s="12"/>
      <c r="S201" s="12"/>
      <c r="T201" s="12"/>
      <c r="U201" s="12"/>
      <c r="V201" s="12"/>
      <c r="W201" s="12"/>
      <c r="X201" s="12"/>
    </row>
    <row r="202" spans="1:26" hidden="1" x14ac:dyDescent="0.15">
      <c r="A202" s="22" t="s">
        <v>211</v>
      </c>
      <c r="C202" s="11" t="str">
        <f>IF(G5=1,LOOKUP(G6,Age,Term01),"0")</f>
        <v>0</v>
      </c>
      <c r="K202" s="23"/>
      <c r="Q202" s="12"/>
      <c r="R202" s="12"/>
      <c r="S202" s="12"/>
      <c r="T202" s="12"/>
      <c r="U202" s="12"/>
      <c r="V202" s="12"/>
      <c r="W202" s="12"/>
      <c r="X202" s="12"/>
    </row>
    <row r="203" spans="1:26" hidden="1" x14ac:dyDescent="0.15">
      <c r="A203" s="22"/>
      <c r="K203" s="23"/>
      <c r="Q203" s="12"/>
      <c r="R203" s="12"/>
      <c r="S203" s="12"/>
      <c r="T203" s="12"/>
      <c r="U203" s="12"/>
      <c r="V203" s="12"/>
      <c r="W203" s="12"/>
      <c r="X203" s="12"/>
    </row>
    <row r="204" spans="1:26" hidden="1" x14ac:dyDescent="0.15">
      <c r="A204" s="22" t="s">
        <v>209</v>
      </c>
      <c r="C204" s="11" t="str">
        <f>IF(AND(G8=10,G5=3),LOOKUP(G6,Age,Term0310),IF(AND(G8=11,G5=3),LOOKUP(G6,Age,Term0311),IF(AND(G8=12,G5=3),LOOKUP(G6,Age,Term0312),IF(AND(G8=13,G5=3),LOOKUP(G6,Age,Term0313),IF(AND(G8=14,G5=3),LOOKUP(G6,Age,Term0314),IF(AND(G8=15,G5=3),LOOKUP(G6,Age,Term0315),IF(AND(G8=16,G5=3),LOOKUP(G6,Age,Term0316),D204)))))))</f>
        <v>0</v>
      </c>
      <c r="D204" s="11" t="str">
        <f>IF(AND(G8=17,G5=3),LOOKUP(G6,Age,Term0317),IF(AND(G8=18,G5=3),LOOKUP(G6,Age,Term0318),IF(AND(G8=19,G5=3),LOOKUP(G6,Age,Term0319),IF(AND(G8=20,G5=3),LOOKUP(G6,Age,Term0320),IF(AND(G8=21,G5=3),LOOKUP(G6,Age,Term0321),IF(AND(G8=22,G5=3),LOOKUP(G6,Age,Term0322),IF(AND(G8=23,G5=3),LOOKUP(G6,Age,Term0323),E204)))))))</f>
        <v>0</v>
      </c>
      <c r="E204" s="11" t="str">
        <f>IF(AND(G8=24,G5=3),LOOKUP(G6,Age,Term0324),IF(AND(G8=25,G5=3),LOOKUP(G6,Age,Term0325),IF(AND(G8=26,G5=3),LOOKUP(G6,Age,Term0326),IF(AND(G8=27,G5=3),LOOKUP(G6,Age,Term0327),IF(AND(G8=28,G5=3),LOOKUP(G6,Age,Term0328),IF(AND(G8=29,G5=3),LOOKUP(G6,Age,Term0329),IF(AND(G8=30,G5=3),LOOKUP(G6,Age,Term0330),F204)))))))</f>
        <v>0</v>
      </c>
      <c r="F204" s="11" t="str">
        <f>IF(AND(G8=31,G5=3),LOOKUP(G6,Age,Term0331),IF(AND(G8=32,G5=3),LOOKUP(G6,Age,Term0332),IF(AND(G8=33,G5=3),LOOKUP(G6,Age,Term0333),IF(AND(G8=34,G5=3),LOOKUP(G6,Age,Term0334),IF(AND(G8=35,G5=3),LOOKUP(G6,Age,Term0335),IF(AND(G8=36,G5=3),LOOKUP(G6,Age,Term0336),IF(AND(G8=37,G5=3),LOOKUP(G6,Age,Term0337),G204)))))))</f>
        <v>0</v>
      </c>
      <c r="G204" s="11" t="str">
        <f>IF(AND(G8=38,G5=3),LOOKUP(G6,Age,Term0338),IF(AND(G8=39,G5=3),LOOKUP(G6,Age,Term0339),IF(AND(G8=40,G5=3),LOOKUP(G6,Age,Term0340),IF(AND(G8=41,G5=3),LOOKUP(G6,Age,Term0341),IF(AND(G8=42,G5=3),LOOKUP(G6,Age,Term0342),IF(AND(G8=43,G5=3),LOOKUP(G6,Age,Term0343),IF(AND(G8=44,G5=3),LOOKUP(G6,Age,Term0344),H204)))))))</f>
        <v>0</v>
      </c>
      <c r="H204" s="11" t="str">
        <f>IF(AND(G8=45,G5=3),LOOKUP(G6,Age,Term0345),IF(AND(G8=46,G5=3),LOOKUP(G6,Age,Term0346),IF(AND(G8=47,G5=3),LOOKUP(G6,Age,Term0347),IF(AND(G8=48,G5=3),LOOKUP(G6,Age,Term0348),IF(AND(G8=49,G5=3),LOOKUP(G6,Age,Term0349),IF(AND(G8=50,G5=3),LOOKUP(G6,Age,Term0350),IF(AND(G8=51,G5=3),LOOKUP(G6,Age,Term0351),I204)))))))</f>
        <v>0</v>
      </c>
      <c r="I204" s="11" t="str">
        <f>IF(AND(G8=52,G5=3),LOOKUP(G6,Age,Term0352),IF(AND(G8=53,G5=3),LOOKUP(G6,Age,Term0353),IF(AND(G8=54,G5=3),LOOKUP(G6,Age,Term0354),IF(AND(G8=55,G5=3),LOOKUP(G6,Age,Term0355),"0"))))</f>
        <v>0</v>
      </c>
      <c r="K204" s="23"/>
      <c r="Q204" s="12"/>
      <c r="R204" s="12"/>
      <c r="S204" s="12"/>
      <c r="T204" s="12"/>
      <c r="U204" s="12"/>
      <c r="V204" s="12"/>
      <c r="W204" s="12"/>
      <c r="X204" s="12"/>
    </row>
    <row r="205" spans="1:26" hidden="1" x14ac:dyDescent="0.15">
      <c r="A205" s="22"/>
      <c r="K205" s="23"/>
      <c r="Q205" s="12"/>
      <c r="R205" s="12"/>
      <c r="S205" s="12"/>
      <c r="T205" s="12"/>
      <c r="U205" s="12"/>
      <c r="V205" s="12"/>
      <c r="W205" s="12"/>
      <c r="X205" s="12"/>
    </row>
    <row r="206" spans="1:26" hidden="1" x14ac:dyDescent="0.15">
      <c r="A206" s="22" t="s">
        <v>210</v>
      </c>
      <c r="C206" s="11" t="str">
        <f>IF(AND(G8=18,G5=5),LOOKUP(G6,Age,Term0518),IF(AND(G8=21,G5=5),LOOKUP(G6,Age,Term0521),IF(AND(G8=24,G5=5),LOOKUP(G6,Age,Term0324),IF(AND(G8=27,G5=5),LOOKUP(G6,Age,Term0527),IF(AND(G8=30,G5=5),LOOKUP(G6,Age,Term0330),"0")))))</f>
        <v>0</v>
      </c>
      <c r="K206" s="23"/>
      <c r="Q206" s="12"/>
      <c r="R206" s="12"/>
      <c r="S206" s="12"/>
      <c r="T206" s="12"/>
      <c r="U206" s="12"/>
      <c r="V206" s="12"/>
      <c r="W206" s="12"/>
      <c r="X206" s="12"/>
    </row>
    <row r="207" spans="1:26" hidden="1" x14ac:dyDescent="0.15">
      <c r="A207" s="22"/>
      <c r="K207" s="23"/>
      <c r="Q207" s="12"/>
      <c r="R207" s="12"/>
      <c r="S207" s="12"/>
      <c r="T207" s="12"/>
      <c r="U207" s="12"/>
      <c r="V207" s="12"/>
      <c r="W207" s="12"/>
      <c r="X207" s="12"/>
    </row>
    <row r="208" spans="1:26" hidden="1" x14ac:dyDescent="0.15">
      <c r="A208" s="22" t="s">
        <v>212</v>
      </c>
      <c r="C208" s="11" t="str">
        <f>IF(AND(G8=10,G5=7,G7&gt;=8,G7&lt;=15),LOOKUP(G6,Age,Term0710),IF(AND(G8=11,G5=7,G7&gt;=7,G7&lt;=14),LOOKUP(G6,Age,Term0711),IF(AND(G8=12,G5=7,G7&gt;=6,G7&lt;=13),LOOKUP(G6,Age,Term0712),IF(AND(G8=13,G5=7,G7&gt;=5,G7&lt;=12),LOOKUP(G6,Age,Term0713),IF(AND(G8=14,G5=7,G7&gt;=4,G7&lt;=11),LOOKUP(G6,Age,Term0714),IF(AND(G8=15,G5=7,G7&gt;=3,G7&lt;=10),LOOKUP(G6,Age,Term0715),IF(AND(G8=16,G5=7,G7&gt;=2,G7&lt;=9),LOOKUP(G6,Age,Term0716),D208)))))))</f>
        <v>0</v>
      </c>
      <c r="D208" s="11" t="str">
        <f>IF(AND(G8=17,G5=7,G7&gt;=1,G7&lt;=8),LOOKUP(G6,Age,Term0717),IF(AND(G8=18,G5=7,G7&gt;=1,G7&lt;=7),LOOKUP(G6,Age,Term0718),IF(AND(G8=19,G5=7,G7&gt;=1,G7&lt;=6),LOOKUP(G6,Age,Term0719),IF(AND(G8=20,G5=7,G7&gt;=1,G7&lt;=5),LOOKUP(G6,Age,Term0720),IF(AND(G8=21,G5=7,G7&gt;=1,G7&lt;=4),LOOKUP(G6,Age,Term0721),IF(AND(G8=22,G5=7,G7&gt;=1,G7&lt;=3),LOOKUP(G6,Age,Term0722),IF(AND(G8=23,G5=7,G7&gt;=1,G7&lt;=2),LOOKUP(G6,Age,Term0723),E208)))))))</f>
        <v>0</v>
      </c>
      <c r="E208" s="11" t="str">
        <f>IF(AND(G8=24,G5=7,G7=1),LOOKUP(G6,Age,Term0724),"0")</f>
        <v>0</v>
      </c>
      <c r="K208" s="23"/>
      <c r="Q208" s="12"/>
      <c r="R208" s="12"/>
      <c r="S208" s="12"/>
      <c r="T208" s="12"/>
      <c r="U208" s="12"/>
      <c r="V208" s="12"/>
      <c r="W208" s="12"/>
      <c r="X208" s="12"/>
    </row>
    <row r="209" spans="1:24" hidden="1" x14ac:dyDescent="0.15">
      <c r="A209" s="22"/>
      <c r="K209" s="23"/>
      <c r="Q209" s="12"/>
      <c r="R209" s="12"/>
      <c r="S209" s="12"/>
      <c r="T209" s="12"/>
      <c r="U209" s="12"/>
      <c r="V209" s="12"/>
      <c r="W209" s="12"/>
      <c r="X209" s="12"/>
    </row>
    <row r="210" spans="1:24" hidden="1" x14ac:dyDescent="0.15">
      <c r="A210" s="22" t="s">
        <v>213</v>
      </c>
      <c r="C210" s="11">
        <f>IF(AND(G8=10,G5=19),LOOKUP(E145,Age,Term1910),IF(AND(G8=15,G5=19),LOOKUP(E145,Age,Term1915),IF(AND(G8=20,G5=19),LOOKUP(E145,Age,Term1920),IF(AND(G8=25,G5=19),LOOKUP(E145,Age,Term1925),IF(AND(G8=30,G5=19),LOOKUP(E145,Age,Term1930),IF(AND(G8=35,G5=19),LOOKUP(E145,Age,Term1935),"0"))))))</f>
        <v>52.35</v>
      </c>
      <c r="K210" s="23"/>
      <c r="Q210" s="12"/>
      <c r="R210" s="12"/>
      <c r="S210" s="12"/>
      <c r="T210" s="12"/>
      <c r="U210" s="12"/>
      <c r="V210" s="12"/>
      <c r="W210" s="12"/>
      <c r="X210" s="12"/>
    </row>
    <row r="211" spans="1:24" hidden="1" x14ac:dyDescent="0.15">
      <c r="A211" s="22"/>
      <c r="K211" s="23"/>
      <c r="Q211" s="12"/>
      <c r="R211" s="12"/>
      <c r="S211" s="12"/>
      <c r="T211" s="12"/>
      <c r="U211" s="12"/>
      <c r="V211" s="12"/>
      <c r="W211" s="12"/>
      <c r="X211" s="12"/>
    </row>
    <row r="212" spans="1:24" hidden="1" x14ac:dyDescent="0.15">
      <c r="A212" s="22" t="s">
        <v>214</v>
      </c>
      <c r="C212" s="11" t="str">
        <f>IF(AND(G8=10,G5=36),LOOKUP(G6,Age,Term3610),IF(AND(G8=15,G5=36),LOOKUP(G6,Age,Term3615),IF(AND(G8=20,G5=36),LOOKUP(G6,Age,Term3620),IF(AND(G8=25,G5=36),LOOKUP(G6,Age,Term3625),"0"))))</f>
        <v>0</v>
      </c>
      <c r="K212" s="23"/>
      <c r="Q212" s="12"/>
      <c r="R212" s="12"/>
      <c r="S212" s="12"/>
      <c r="T212" s="12"/>
      <c r="U212" s="12"/>
      <c r="V212" s="12"/>
      <c r="W212" s="12"/>
      <c r="X212" s="12"/>
    </row>
    <row r="213" spans="1:24" hidden="1" x14ac:dyDescent="0.15">
      <c r="A213" s="22"/>
      <c r="K213" s="23"/>
      <c r="Q213" s="12"/>
      <c r="R213" s="12"/>
      <c r="S213" s="12"/>
      <c r="T213" s="12"/>
      <c r="U213" s="12"/>
      <c r="V213" s="12"/>
      <c r="W213" s="12"/>
      <c r="X213" s="12"/>
    </row>
    <row r="214" spans="1:24" hidden="1" x14ac:dyDescent="0.15">
      <c r="A214" s="22" t="s">
        <v>215</v>
      </c>
      <c r="C214" s="11" t="str">
        <f>IF(AND(G8=10,G5=75,OR(G7=8,G7=11,G7=15)),LOOKUP(G6,Age,Term7510),IF(AND(G8=11,G5=75,OR(G7=7,G7=10,G7=14)),LOOKUP(G6,Age,Term7511),IF(AND(G8=12,G5=75,OR(G7=6,G7=9,G7=13)),LOOKUP(G6,Age,Term7512),IF(AND(G8=13,G5=75,OR(G7=5,G7=8,G7=12)),LOOKUP(G6,Age,Term7513),IF(AND(G8=14,G5=75,OR(G7=4,G7=7,G7=11)),LOOKUP(G6,Age,Term7514),IF(AND(G8=15,G5=75,OR(G7=3,G7=6,G7=10)),LOOKUP(G6,Age,Term7515),D214))))))</f>
        <v>0</v>
      </c>
      <c r="D214" s="11" t="str">
        <f>IF(AND(G8=16,G5=75,OR(G7=2,G7=5,G7=9)),LOOKUP(G6,Age,Term7516),IF(AND(G8=17,G5=75,OR(G7=1,G7=4,G7=8)),LOOKUP(G6,Age,Term7517),IF(AND(G8=18,G5=75,OR(G7=3,G7=7)),LOOKUP(G6,Age,Term7518),IF(AND(G8=19,G5=75,OR(G7=2,G7=6)),LOOKUP(G6,Age,Term7519),IF(AND(G8=20,G5=75,OR(G7=1,G7=5)),LOOKUP(G6,Age,Term7520),E214)))))</f>
        <v>0</v>
      </c>
      <c r="E214" s="11" t="str">
        <f>IF(AND(G8=21,G5=75,G7=4),LOOKUP(G6,Age,Term7521),IF(AND(G8=22,G5=75,G7=3),LOOKUP(G6,Age,Term7522),IF(AND(G8=23,G5=75,G7=2),LOOKUP(G6,Age,Term7523),IF(AND(G8=24,G5=75,G7=1),LOOKUP(G6,Age,Term7524),"0"))))</f>
        <v>0</v>
      </c>
      <c r="K214" s="23"/>
      <c r="Q214" s="12"/>
      <c r="R214" s="12"/>
      <c r="S214" s="12"/>
      <c r="T214" s="12"/>
      <c r="U214" s="12"/>
      <c r="V214" s="12"/>
      <c r="W214" s="12"/>
      <c r="X214" s="12"/>
    </row>
    <row r="215" spans="1:24" hidden="1" x14ac:dyDescent="0.15">
      <c r="A215" s="22"/>
      <c r="K215" s="23"/>
      <c r="Q215" s="12"/>
      <c r="R215" s="12"/>
      <c r="S215" s="12"/>
      <c r="T215" s="12"/>
      <c r="U215" s="12"/>
      <c r="V215" s="12"/>
      <c r="W215" s="12"/>
      <c r="X215" s="12"/>
    </row>
    <row r="216" spans="1:24" hidden="1" x14ac:dyDescent="0.15">
      <c r="A216" s="22" t="s">
        <v>216</v>
      </c>
      <c r="C216" s="11" t="str">
        <f>IF(AND(G8=10,G5=76),LOOKUP(G6,Age,Term7610),IF(AND(G8=11,G5=76),LOOKUP(G6,Age,Term7611),IF(AND(G8=12,G5=76),LOOKUP(G6,Age,Term7612),IF(AND(G8=13,G5=76),LOOKUP(G6,Age,Term7613),IF(AND(G8=14,G5=76),LOOKUP(G6,Age,Term7614),IF(AND(G8=15,G5=76),LOOKUP(G6,Age,Term7615),IF(AND(G8=16,G5=76),LOOKUP(G6,Age,Term7616),D216)))))))</f>
        <v>0</v>
      </c>
      <c r="D216" s="11" t="str">
        <f>IF(AND(G8=17,G5=76),LOOKUP(G6,Age,Term7617),IF(AND(G8=18,G5=76),LOOKUP(G6,Age,Term7618),IF(AND(G8=19,G5=76),LOOKUP(G6,Age,Term7619),IF(AND(G8=20,G5=76),LOOKUP(G6,Age,Term7620),IF(AND(G8=21,G5=76),LOOKUP(G6,Age,Term7621),IF(AND(G8=22,G5=76),LOOKUP(G6,Age,Term7622),IF(AND(G8=23,G5=76),LOOKUP(G6,Age,Term7623),E216)))))))</f>
        <v>0</v>
      </c>
      <c r="E216" s="11" t="str">
        <f>IF(AND(G8=24,G5=76),LOOKUP(G6,Age,Term7624),"0")</f>
        <v>0</v>
      </c>
      <c r="K216" s="23"/>
      <c r="Q216" s="12"/>
      <c r="R216" s="12"/>
      <c r="S216" s="12"/>
      <c r="T216" s="12"/>
      <c r="U216" s="12"/>
      <c r="V216" s="12"/>
      <c r="W216" s="12"/>
      <c r="X216" s="12"/>
    </row>
    <row r="217" spans="1:24" hidden="1" x14ac:dyDescent="0.15">
      <c r="A217" s="22"/>
      <c r="K217" s="23"/>
      <c r="Q217" s="12"/>
      <c r="R217" s="12"/>
      <c r="S217" s="12"/>
      <c r="T217" s="12"/>
      <c r="U217" s="12"/>
      <c r="V217" s="12"/>
      <c r="W217" s="12"/>
      <c r="X217" s="12"/>
    </row>
    <row r="218" spans="1:24" hidden="1" x14ac:dyDescent="0.15">
      <c r="A218" s="22" t="s">
        <v>217</v>
      </c>
      <c r="C218" s="11" t="str">
        <f>IF(AND(G8=15,G5=78),LOOKUP(G6,Age,Term7815),IF(AND(G8=16,G5=78),LOOKUP(G6,Age,Term7816),IF(AND(G8=17,G5=78),LOOKUP(G6,Age,Term7817),IF(AND(G8=18,G5=78),LOOKUP(G6,Age,Term7818),IF(AND(G8=19,G5=78),LOOKUP(G6,Age,Term7819),IF(AND(G8=20,G5=78),LOOKUP(G6,Age,Term7820),IF(AND(G8=21,G5=78),LOOKUP(G6,Age,Term7821),D218)))))))</f>
        <v>0</v>
      </c>
      <c r="D218" s="11" t="str">
        <f>IF(AND(G8=22,G5=78),LOOKUP(G6,Age,Term7822),IF(AND(G8=23,G5=78),LOOKUP(G6,Age,Term7823),IF(AND(G8=24,G5=78),LOOKUP(G6,Age,Term7824),"0")))</f>
        <v>0</v>
      </c>
      <c r="K218" s="23"/>
      <c r="Q218" s="12"/>
      <c r="R218" s="12"/>
      <c r="S218" s="12"/>
      <c r="T218" s="12"/>
      <c r="U218" s="12"/>
      <c r="V218" s="12"/>
      <c r="W218" s="12"/>
      <c r="X218" s="12"/>
    </row>
    <row r="219" spans="1:24" hidden="1" x14ac:dyDescent="0.15">
      <c r="A219" s="22"/>
      <c r="K219" s="23"/>
      <c r="Q219" s="12"/>
      <c r="R219" s="12"/>
      <c r="S219" s="12"/>
      <c r="T219" s="12"/>
      <c r="U219" s="12"/>
      <c r="V219" s="12"/>
      <c r="W219" s="12"/>
      <c r="X219" s="12"/>
    </row>
    <row r="220" spans="1:24" hidden="1" x14ac:dyDescent="0.15">
      <c r="A220" s="22" t="s">
        <v>218</v>
      </c>
      <c r="C220" s="11" t="str">
        <f>IF(AND(G8=10,G5=3,G16="y"),LOOKUP(G6,Age,_ND10),IF(AND(G8=15,G5=3,G16="y"),LOOKUP(G6,Age,_ND15),IF(AND(G8=20,G5=3,G16="y"),LOOKUP(G6,Age,_ND20),IF(AND(G8=18,G5=5,G16="y"),LOOKUP(G6,Age,_ND18),IF(AND(G8=21,G5=5,G16="y"),LOOKUP(G6,Age,_ND21),"0")))))</f>
        <v>0</v>
      </c>
      <c r="K220" s="23"/>
      <c r="Q220" s="12"/>
      <c r="R220" s="12"/>
      <c r="S220" s="12"/>
      <c r="T220" s="12"/>
      <c r="U220" s="12"/>
      <c r="V220" s="12"/>
      <c r="W220" s="12"/>
      <c r="X220" s="12"/>
    </row>
    <row r="221" spans="1:24" hidden="1" x14ac:dyDescent="0.15">
      <c r="A221" s="22"/>
      <c r="K221" s="23"/>
      <c r="Q221" s="12"/>
      <c r="R221" s="12"/>
      <c r="S221" s="12"/>
      <c r="T221" s="12"/>
      <c r="U221" s="12"/>
      <c r="V221" s="12"/>
      <c r="W221" s="12"/>
      <c r="X221" s="12"/>
    </row>
    <row r="222" spans="1:24" hidden="1" x14ac:dyDescent="0.15">
      <c r="A222" s="22" t="s">
        <v>219</v>
      </c>
      <c r="C222" s="11" t="str">
        <f>IF(AND(F10=10,G10="Y"),LOOKUP(G6,Age,_FIB10),IF(AND(F10=11,G10="Y"),LOOKUP(G6,Age,_FIB11),IF(AND(F10=12,G10="Y"),LOOKUP(G6,Age,_FIB12),IF(AND(F10=13,G10="Y"),LOOKUP(G6,Age,_FIB13),IF(AND(F10=14,G10="Y"),LOOKUP(G6,Age,_FIB14),IF(AND(F10=15,G10="Y"),LOOKUP(G6,Age,_FIB15),IF(AND(F10=16,G10="Y"),LOOKUP(G6,Age,_FIB16),D222)))))))</f>
        <v>0</v>
      </c>
      <c r="D222" s="11" t="str">
        <f>IF(AND(F10=17,G10="Y"),LOOKUP(G6,Age,_FIB17),IF(AND(F10=18,G10="Y"),LOOKUP(G6,Age,_FIB18),IF(AND(F10=19,G10="Y"),LOOKUP(G6,Age,_FIB19),IF(AND(F10=20,G10="Y"),LOOKUP(G6,Age,_FIB20),IF(AND(F10=21,G10="Y"),LOOKUP(G6,Age,_FIB21),IF(AND(F10=22,G10="Y"),LOOKUP(G6,Age,_FIB22),IF(AND(F10=23,G10="Y"),LOOKUP(G6,Age,_FIB23),E222)))))))</f>
        <v>0</v>
      </c>
      <c r="E222" s="11" t="str">
        <f>IF(AND(F10=24,G10="Y"),LOOKUP(G6,Age,_FIB24),IF(AND(F10=25,G10="Y"),LOOKUP(G6,Age,_FIB25),IF(AND(F10=26,G10="Y"),LOOKUP(G6,Age,_FIB26),IF(AND(F10=27,G10="Y"),LOOKUP(G6,Age,_FIB27),IF(AND(F10=28,G10="Y"),LOOKUP(G6,Age,_FIB28),IF(AND(F10=29,G10="Y"),LOOKUP(G6,Age,_FIB29),IF(AND(F10=30,G10="Y"),LOOKUP(G6,Age,_FIB30),F222)))))))</f>
        <v>0</v>
      </c>
      <c r="F222" s="11" t="str">
        <f>IF(AND(F10=31,G10="Y"),LOOKUP(G6,Age,_FIB31),IF(AND(F10=32,G10="Y"),LOOKUP(G6,Age,_FIB32),IF(AND(F10=33,G10="Y"),LOOKUP(G6,Age,_FIB33),IF(AND(F10=34,G10="Y"),LOOKUP(G6,Age,_FIB34),IF(AND(F10=35,G10="Y"),LOOKUP(G6,Age,_FIB35),IF(AND(F10=36,G10="Y"),LOOKUP(G6,Age,_FIB36),IF(AND(F10=37,G10="Y"),LOOKUP(G6,Age,_FIB37),G222)))))))</f>
        <v>0</v>
      </c>
      <c r="G222" s="11" t="str">
        <f>IF(AND(F10=38,G10="Y"),LOOKUP(G6,Age,_FIB38),IF(AND(F10=39,G10="Y"),LOOKUP(G6,Age,_FIB39),IF(AND(F10=40,G10="Y"),LOOKUP(G6,Age,_FIB40),IF(AND(F10=41,G10="Y"),LOOKUP(G6,Age,_FIB41),IF(AND(F10=42,G10="Y"),LOOKUP(G6,Age,_FIB42),IF(AND(F10=43,G10="Y"),LOOKUP(G6,Age,_FIB43),IF(AND(F10=44,G10="Y"),LOOKUP(G6,Age,_FIB44),H222)))))))</f>
        <v>0</v>
      </c>
      <c r="H222" s="11" t="str">
        <f>IF(AND(F10=45,G10="Y"),LOOKUP(G6,Age,_FIB45),"0")</f>
        <v>0</v>
      </c>
      <c r="K222" s="23"/>
      <c r="Q222" s="12"/>
      <c r="R222" s="12"/>
      <c r="S222" s="12"/>
      <c r="T222" s="12"/>
      <c r="U222" s="12"/>
      <c r="V222" s="12"/>
      <c r="W222" s="12"/>
      <c r="X222" s="12"/>
    </row>
    <row r="223" spans="1:24" hidden="1" x14ac:dyDescent="0.15">
      <c r="A223" s="22"/>
      <c r="K223" s="23"/>
      <c r="Q223" s="12"/>
      <c r="R223" s="12"/>
      <c r="S223" s="12"/>
      <c r="T223" s="12"/>
      <c r="U223" s="12"/>
      <c r="V223" s="12"/>
      <c r="W223" s="12"/>
      <c r="X223" s="12"/>
    </row>
    <row r="224" spans="1:24" hidden="1" x14ac:dyDescent="0.15">
      <c r="A224" s="22" t="s">
        <v>220</v>
      </c>
      <c r="C224" s="11" t="str">
        <f>IF(AND(F11=10,G11="Y"),LOOKUP(G6,Age,_TIR10),IF(AND(F11=11,G11="Y"),LOOKUP(G6,Age,_TIR11),IF(AND(F11=12,G11="Y"),LOOKUP(G6,Age,_TIR12),IF(AND(F11=13,G11="Y"),LOOKUP(G6,Age,_TIR13),IF(AND(F11=14,G11="Y"),LOOKUP(G6,Age,_TIR14),IF(AND(F11=15,G11="Y"),LOOKUP(G6,Age,_TIR15),IF(AND(F11=16,G11="Y"),LOOKUP(G6,Age,_TIR16),D224)))))))</f>
        <v>0</v>
      </c>
      <c r="D224" s="11" t="str">
        <f>IF(AND(F11=17,G11="Y"),LOOKUP(G6,Age,_TIR17),IF(AND(F11=18,G11="Y"),LOOKUP(G6,Age,_TIR18),IF(AND(F11=19,G11="Y"),LOOKUP(G6,Age,_TIR19),IF(AND(F11=20,G11="Y"),LOOKUP(G6,Age,_TIR20),IF(AND(F11=21,G11="Y"),LOOKUP(G6,Age,_TIR21),IF(AND(F11=22,G11="Y"),LOOKUP(G6,Age,_TIR22),IF(AND(F11=23,G11="Y"),LOOKUP(G6,Age,_TIR23),E224)))))))</f>
        <v>0</v>
      </c>
      <c r="E224" s="11" t="str">
        <f>IF(AND(F11=24,G11="Y"),LOOKUP(G6,Age,_TIR24),IF(AND(F11=25,G11="Y"),LOOKUP(G6,Age,_TIR25),"0"))</f>
        <v>0</v>
      </c>
      <c r="K224" s="23"/>
      <c r="Q224" s="12"/>
      <c r="R224" s="12"/>
      <c r="S224" s="12"/>
      <c r="T224" s="12"/>
      <c r="U224" s="12"/>
      <c r="V224" s="12"/>
      <c r="W224" s="12"/>
      <c r="X224" s="12"/>
    </row>
    <row r="225" spans="1:26" hidden="1" x14ac:dyDescent="0.15">
      <c r="A225" s="22"/>
      <c r="K225" s="23"/>
      <c r="Q225" s="12"/>
      <c r="R225" s="12"/>
      <c r="S225" s="12"/>
      <c r="T225" s="12"/>
      <c r="U225" s="12"/>
      <c r="V225" s="12"/>
      <c r="W225" s="12"/>
      <c r="X225" s="12"/>
    </row>
    <row r="226" spans="1:26" hidden="1" x14ac:dyDescent="0.15">
      <c r="A226" s="22" t="s">
        <v>221</v>
      </c>
      <c r="C226" s="11" t="str">
        <f>IF(AND(F12=10,G12="Y"),LOOKUP(G6,Age,_SWP10),IF(AND(F12=15,G12="Y"),LOOKUP(G6,Age,_SWP15),IF(AND(F12=18,G12="Y"),LOOKUP(G6,Age,_SWP18),IF(AND(F12=20,G12="Y"),LOOKUP(G6,Age,_SWP20),IF(AND(F12=21,G12="Y"),LOOKUP(G6,Age,_SWP21),IF(AND(F12=24,G12="Y"),LOOKUP(G6,Age,_SWP21),IF(AND(F12=24,G12="Y"),LOOKUP(G6,Age,_SWP24),D226)))))))</f>
        <v>0</v>
      </c>
      <c r="D226" s="11" t="str">
        <f>IF(AND(F12=25,G12="Y"),LOOKUP(G6,Age,_SWP25),IF(AND(F12=27,G12="Y"),LOOKUP(G6,Age,_SWP27),IF(AND(F12=30,G12="Y"),LOOKUP(G6,Age,_SWP30),IF(AND(F12=35,G12="Y"),LOOKUP(G6,Age,_SWP35),IF(AND(F12=40,G12="Y"),LOOKUP(G6,Age,_SWP40),E226)))))</f>
        <v>0</v>
      </c>
      <c r="E226" s="11" t="str">
        <f>IF(AND(F12=11,G12="Y"),LOOKUP(G6,Age,_SWP11),IF(AND(F12=12,G12="Y"),LOOKUP(G6,Age,_SWP12),IF(AND(F12=13,G12="Y"),LOOKUP(G6,Age,_SWP13),IF(AND(F12=14,G12="Y"),LOOKUP(G6,Age,_SWP14),IF(AND(F12=16,G12="Y"),LOOKUP(G6,Age,_SWP16),F226)))))</f>
        <v>0</v>
      </c>
      <c r="F226" s="11" t="str">
        <f>IF(AND(F12=17,G12="Y"),LOOKUP(G6,Age,_SWP17),IF(AND(F12=19,G12="Y"),LOOKUP(G6,Age,_SWP19),IF(AND(F12=22,G12="Y"),LOOKUP(G6,Age,_SWP22),IF(AND(F12=23,G12="Y"),LOOKUP(G6,Age,_SWP23),IF(AND(F12=26,G12="Y"),LOOKUP(G6,Age,_SWP26),G226)))))</f>
        <v>0</v>
      </c>
      <c r="G226" s="11" t="str">
        <f>IF(AND(F12=28,G12="Y"),LOOKUP(G6,Age,_SWP28),IF(AND(F12=29,G12="Y"),LOOKUP(G6,Age,_SWP29),IF(AND(F12=31,G12="Y"),LOOKUP(G6,Age,_SWP31),IF(AND(F12=32,G12="Y"),LOOKUP(G6,Age,_SWP32),IF(AND(F12=33,G12="Y"),LOOKUP(G6,Age,_SWP33),H226)))))</f>
        <v>0</v>
      </c>
      <c r="H226" s="11" t="str">
        <f>IF(AND(F12=34,G12="Y"),LOOKUP(G6,Age,_SWP34),IF(AND(F12=36,G12="Y"),LOOKUP(G6,Age,_SWP36),IF(AND(F12=37,G12="Y"),LOOKUP(G6,Age,_SWP37),IF(AND(F12=38,G12="Y"),LOOKUP(G6,Age,_SWP38),IF(AND(F12=39,G12="Y"),LOOKUP(G6,Age,_SWP39),"0")))))</f>
        <v>0</v>
      </c>
      <c r="K226" s="23"/>
      <c r="Q226" s="12"/>
      <c r="R226" s="12"/>
      <c r="S226" s="12"/>
      <c r="T226" s="12"/>
      <c r="U226" s="12"/>
      <c r="V226" s="12"/>
      <c r="W226" s="12"/>
      <c r="X226" s="12"/>
    </row>
    <row r="227" spans="1:26" hidden="1" x14ac:dyDescent="0.15">
      <c r="A227" s="22"/>
      <c r="K227" s="23"/>
      <c r="Q227" s="12"/>
      <c r="R227" s="12"/>
      <c r="S227" s="12"/>
      <c r="T227" s="12"/>
      <c r="U227" s="12"/>
      <c r="V227" s="12"/>
      <c r="W227" s="12"/>
      <c r="X227" s="12"/>
    </row>
    <row r="228" spans="1:26" hidden="1" x14ac:dyDescent="0.15">
      <c r="A228" s="22" t="s">
        <v>222</v>
      </c>
      <c r="C228" s="11" t="str">
        <f>IF(AND(F17=10,G17="Y"),LOOKUP(G6,Age,_RPR10),IF(AND(F17=11,G17="Y"),LOOKUP(G6,Age,_RPR11),IF(AND(F17=12,G17="Y"),LOOKUP(G6,Age,_RPR12),IF(AND(F17=13,G17="Y"),LOOKUP(G6,Age,_RPR13),IF(AND(F17=14,G17="Y"),LOOKUP(G6,Age,_RPR14),IF(AND(F17=15,G17="Y"),LOOKUP(G6,Age,_RPR15),IF(AND(F17=16,G17="Y"),LOOKUP(G6,Age,_RPR16),D228)))))))</f>
        <v>0</v>
      </c>
      <c r="D228" s="11" t="str">
        <f>IF(AND(F17=17,G17="Y"),LOOKUP(G6,Age,_RPR17),IF(AND(F17=18,G17="Y"),LOOKUP(G6,Age,_RPR18),IF(AND(F17=19,G17="Y"),LOOKUP(G6,Age,_RPR19),IF(AND(F17=20,G17="Y"),LOOKUP(G6,Age,_RPR20),IF(AND(F17=21,G17="Y"),LOOKUP(G6,Age,_RPR21),IF(AND(F17=22,G17="Y"),LOOKUP(G6,Age,_RPR22),IF(AND(F17=23,G17="Y"),LOOKUP(G6,Age,_RPR23),E228)))))))</f>
        <v>0</v>
      </c>
      <c r="E228" s="11" t="str">
        <f>IF(AND(F17=24,G17="Y"),LOOKUP(G6,Age,_RPR24),IF(AND(F17=25,G17="Y"),LOOKUP(G6,Age,_RPR25),"0"))</f>
        <v>0</v>
      </c>
      <c r="K228" s="23"/>
      <c r="Q228" s="12"/>
      <c r="R228" s="12"/>
      <c r="S228" s="12"/>
      <c r="T228" s="12"/>
      <c r="U228" s="12"/>
      <c r="V228" s="12"/>
      <c r="W228" s="12"/>
      <c r="X228" s="12"/>
    </row>
    <row r="229" spans="1:26" hidden="1" x14ac:dyDescent="0.15">
      <c r="A229" s="38"/>
      <c r="B229" s="39"/>
      <c r="C229" s="39"/>
      <c r="D229" s="39"/>
      <c r="E229" s="39"/>
      <c r="F229" s="39"/>
      <c r="G229" s="39"/>
      <c r="H229" s="39"/>
      <c r="I229" s="39"/>
      <c r="J229" s="39"/>
      <c r="K229" s="40"/>
      <c r="S229" s="12"/>
      <c r="T229" s="12"/>
      <c r="U229" s="12"/>
      <c r="V229" s="12"/>
      <c r="W229" s="12"/>
      <c r="X229" s="12"/>
      <c r="Y229" s="12"/>
      <c r="Z229" s="12"/>
    </row>
    <row r="230" spans="1:26" hidden="1" x14ac:dyDescent="0.15">
      <c r="A230" s="22"/>
      <c r="K230" s="23"/>
      <c r="S230" s="12"/>
      <c r="T230" s="12"/>
      <c r="U230" s="12"/>
      <c r="V230" s="12"/>
      <c r="W230" s="12"/>
      <c r="X230" s="12"/>
      <c r="Y230" s="12"/>
      <c r="Z230" s="12"/>
    </row>
    <row r="231" spans="1:26" hidden="1" x14ac:dyDescent="0.15">
      <c r="A231" s="31" t="s">
        <v>280</v>
      </c>
      <c r="K231" s="23"/>
      <c r="S231" s="12"/>
      <c r="T231" s="12"/>
      <c r="U231" s="12"/>
      <c r="V231" s="12"/>
      <c r="W231" s="12"/>
      <c r="X231" s="12"/>
      <c r="Y231" s="12"/>
      <c r="Z231" s="12"/>
    </row>
    <row r="232" spans="1:26" hidden="1" x14ac:dyDescent="0.15">
      <c r="A232" s="22"/>
      <c r="K232" s="23"/>
      <c r="S232" s="12"/>
      <c r="T232" s="12"/>
      <c r="U232" s="12"/>
      <c r="V232" s="12"/>
      <c r="W232" s="12"/>
      <c r="X232" s="12"/>
      <c r="Y232" s="12"/>
      <c r="Z232" s="12"/>
    </row>
    <row r="233" spans="1:26" hidden="1" x14ac:dyDescent="0.15">
      <c r="A233" s="22"/>
      <c r="K233" s="23"/>
      <c r="S233" s="12"/>
      <c r="T233" s="12"/>
      <c r="U233" s="12"/>
      <c r="V233" s="12"/>
      <c r="W233" s="12"/>
      <c r="X233" s="12"/>
      <c r="Y233" s="12"/>
      <c r="Z233" s="12"/>
    </row>
    <row r="234" spans="1:26" hidden="1" x14ac:dyDescent="0.15">
      <c r="A234" s="22" t="s">
        <v>219</v>
      </c>
      <c r="C234" s="11" t="str">
        <f>IF(AND(F19=10,G19="Y"),LOOKUP(G7,Age,_FIB10),IF(AND(F19=11,G19="Y"),LOOKUP(G7,Age,_FIB11),IF(AND(F19=12,G19="Y"),LOOKUP(G7,Age,_FIB12),IF(AND(F19=13,G19="Y"),LOOKUP(G7,Age,_FIB13),IF(AND(F19=14,G19="Y"),LOOKUP(G7,Age,_FIB14),IF(AND(F19=15,G19="Y"),LOOKUP(G7,Age,_FIB15),IF(AND(F19=16,G19="Y"),LOOKUP(G7,Age,_FIB16),D234)))))))</f>
        <v>0</v>
      </c>
      <c r="D234" s="11" t="str">
        <f>IF(AND(F19=17,G19="Y"),LOOKUP(G7,Age,_FIB17),IF(AND(F19=18,G19="Y"),LOOKUP(G7,Age,_FIB18),IF(AND(F19=19,G19="Y"),LOOKUP(G7,Age,_FIB19),IF(AND(F19=20,G19="Y"),LOOKUP(G7,Age,_FIB20),IF(AND(F19=21,G19="Y"),LOOKUP(G7,Age,_FIB21),IF(AND(F19=22,G19="Y"),LOOKUP(G7,Age,_FIB22),IF(AND(F19=23,G19="Y"),LOOKUP(G7,Age,_FIB23),E234)))))))</f>
        <v>0</v>
      </c>
      <c r="E234" s="11" t="str">
        <f>IF(AND(F19=24,G19="Y"),LOOKUP(G7,Age,_FIB24),IF(AND(F19=25,G19="Y"),LOOKUP(G7,Age,_FIB25),IF(AND(F19=26,G19="Y"),LOOKUP(G7,Age,_FIB26),IF(AND(F19=27,G19="Y"),LOOKUP(G7,Age,_FIB27),IF(AND(F19=28,G19="Y"),LOOKUP(G7,Age,_FIB28),IF(AND(F19=29,G19="Y"),LOOKUP(G7,Age,_FIB29),IF(AND(F19=30,G19="Y"),LOOKUP(G7,Age,_FIB30),F234)))))))</f>
        <v>0</v>
      </c>
      <c r="F234" s="11" t="str">
        <f>IF(AND(F19=31,G19="Y"),LOOKUP(G7,Age,_FIB31),IF(AND(F19=32,G19="Y"),LOOKUP(G7,Age,_FIB32),IF(AND(F19=33,G19="Y"),LOOKUP(G7,Age,_FIB33),IF(AND(F19=34,G19="Y"),LOOKUP(G7,Age,_FIB34),IF(AND(F19=35,G19="Y"),LOOKUP(G7,Age,_FIB35),IF(AND(F19=36,G19="Y"),LOOKUP(G7,Age,_FIB36),IF(AND(F19=37,G19="Y"),LOOKUP(G7,Age,_FIB37),G234)))))))</f>
        <v>0</v>
      </c>
      <c r="G234" s="11" t="str">
        <f>IF(AND(F19=38,G19="Y"),LOOKUP(G7,Age,_FIB38),IF(AND(F19=39,G19="Y"),LOOKUP(G7,Age,_FIB39),IF(AND(F19=40,G19="Y"),LOOKUP(G7,Age,_FIB40),IF(AND(F19=41,G19="Y"),LOOKUP(G7,Age,_FIB41),IF(AND(F19=42,G19="Y"),LOOKUP(G7,Age,_FIB42),IF(AND(F19=43,G19="Y"),LOOKUP(G7,Age,_FIB43),IF(AND(F19=44,G19="Y"),LOOKUP(G7,Age,_FIB44),H234)))))))</f>
        <v>0</v>
      </c>
      <c r="H234" s="11" t="str">
        <f>IF(AND(F19=45,G19="Y"),LOOKUP(G7,Age,_FIB45),"0")</f>
        <v>0</v>
      </c>
      <c r="K234" s="23"/>
      <c r="S234" s="12"/>
      <c r="T234" s="12"/>
      <c r="U234" s="12"/>
      <c r="V234" s="12"/>
      <c r="W234" s="12"/>
      <c r="X234" s="12"/>
      <c r="Y234" s="12"/>
      <c r="Z234" s="12"/>
    </row>
    <row r="235" spans="1:26" hidden="1" x14ac:dyDescent="0.15">
      <c r="A235" s="22"/>
      <c r="K235" s="23"/>
      <c r="S235" s="12"/>
      <c r="T235" s="12"/>
      <c r="U235" s="12"/>
      <c r="V235" s="12"/>
      <c r="W235" s="12"/>
      <c r="X235" s="12"/>
      <c r="Y235" s="12"/>
      <c r="Z235" s="12"/>
    </row>
    <row r="236" spans="1:26" hidden="1" x14ac:dyDescent="0.15">
      <c r="A236" s="22" t="s">
        <v>220</v>
      </c>
      <c r="C236" s="11" t="str">
        <f>IF(AND(F20=10,G20="Y"),LOOKUP(G7,Age,_TIR10),IF(AND(F20=11,G20="Y"),LOOKUP(G7,Age,_TIR11),IF(AND(F20=12,G20="Y"),LOOKUP(G7,Age,_TIR12),IF(AND(F20=13,G20="Y"),LOOKUP(G7,Age,_TIR13),IF(AND(F20=14,G20="Y"),LOOKUP(G7,Age,_TIR14),IF(AND(F20=15,G20="Y"),LOOKUP(G7,Age,_TIR15),IF(AND(F20=16,G20="Y"),LOOKUP(G7,Age,_TIR16),D236)))))))</f>
        <v>0</v>
      </c>
      <c r="D236" s="11" t="str">
        <f>IF(AND(F20=17,G20="Y"),LOOKUP(G7,Age,_TIR17),IF(AND(F20=18,G20="Y"),LOOKUP(G7,Age,_TIR18),IF(AND(F20=19,G20="Y"),LOOKUP(G7,Age,_TIR19),IF(AND(F20=20,G20="Y"),LOOKUP(G7,Age,_TIR20),IF(AND(F20=21,G20="Y"),LOOKUP(G7,Age,_TIR21),IF(AND(F20=22,G20="Y"),LOOKUP(G7,Age,_TIR22),IF(AND(F20=23,G20="Y"),LOOKUP(G7,Age,_TIR23),E236)))))))</f>
        <v>0</v>
      </c>
      <c r="E236" s="11" t="str">
        <f>IF(AND(F20=24,G20="Y"),LOOKUP(G7,Age,_TIR24),IF(AND(F20=25,G20="Y"),LOOKUP(G7,Age,_TIR25),"0"))</f>
        <v>0</v>
      </c>
      <c r="K236" s="23"/>
      <c r="S236" s="12"/>
      <c r="T236" s="12"/>
      <c r="U236" s="12"/>
      <c r="V236" s="12"/>
      <c r="W236" s="12"/>
      <c r="X236" s="12"/>
      <c r="Y236" s="12"/>
      <c r="Z236" s="12"/>
    </row>
    <row r="237" spans="1:26" hidden="1" x14ac:dyDescent="0.15">
      <c r="A237" s="22"/>
      <c r="K237" s="23"/>
      <c r="S237" s="12"/>
      <c r="T237" s="12"/>
      <c r="U237" s="12"/>
      <c r="V237" s="12"/>
      <c r="W237" s="12"/>
      <c r="X237" s="12"/>
      <c r="Y237" s="12"/>
      <c r="Z237" s="12"/>
    </row>
    <row r="238" spans="1:26" hidden="1" x14ac:dyDescent="0.15">
      <c r="A238" s="22" t="s">
        <v>221</v>
      </c>
      <c r="C238" s="11" t="str">
        <f>IF(AND(F21=10,G21="Y"),LOOKUP(G7,Age,_SWP10),IF(AND(F21=15,G21="Y"),LOOKUP(G7,Age,_SWP15),IF(AND(F21=18,G21="Y"),LOOKUP(G7,Age,_SWP18),IF(AND(F21=20,G21="Y"),LOOKUP(G7,Age,_SWP20),IF(AND(F21=21,G21="Y"),LOOKUP(G7,Age,_SWP21),IF(AND(F21=24,G21="Y"),LOOKUP(G7,Age,_SWP21),IF(AND(F21=24,G21="Y"),LOOKUP(G7,Age,_SWP24),D238)))))))</f>
        <v>0</v>
      </c>
      <c r="D238" s="11" t="str">
        <f>IF(AND(F21=25,G21="Y"),LOOKUP(G7,Age,_SWP25),IF(AND(F21=27,G21="Y"),LOOKUP(G7,Age,_SWP27),IF(AND(F21=30,G21="Y"),LOOKUP(G7,Age,_SWP30),IF(AND(F21=35,G21="Y"),LOOKUP(G7,Age,_SWP35),IF(AND(F21=40,G21="Y"),LOOKUP(G7,Age,_SWP40),"0")))))</f>
        <v>0</v>
      </c>
      <c r="K238" s="23"/>
      <c r="S238" s="12"/>
      <c r="T238" s="12"/>
      <c r="U238" s="12"/>
      <c r="V238" s="12"/>
      <c r="W238" s="12"/>
      <c r="X238" s="12"/>
      <c r="Y238" s="12"/>
      <c r="Z238" s="12"/>
    </row>
    <row r="239" spans="1:26" hidden="1" x14ac:dyDescent="0.15">
      <c r="A239" s="22"/>
      <c r="K239" s="23"/>
      <c r="S239" s="12"/>
      <c r="T239" s="12"/>
      <c r="U239" s="12"/>
      <c r="V239" s="12"/>
      <c r="W239" s="12"/>
      <c r="X239" s="12"/>
      <c r="Y239" s="12"/>
      <c r="Z239" s="12"/>
    </row>
    <row r="240" spans="1:26" hidden="1" x14ac:dyDescent="0.15">
      <c r="A240" s="22" t="s">
        <v>222</v>
      </c>
      <c r="C240" s="11" t="str">
        <f>IF(AND(F26=10,G26="Y"),LOOKUP(G7,Age,_RPR10),IF(AND(F26=11,G26="Y"),LOOKUP(G7,Age,_RPR11),IF(AND(F26=12,G26="Y"),LOOKUP(G7,Age,_RPR12),IF(AND(F26=13,G26="Y"),LOOKUP(G7,Age,_RPR13),IF(AND(F26=14,G26="Y"),LOOKUP(G7,Age,_RPR14),IF(AND(F26=15,G26="Y"),LOOKUP(G7,Age,_RPR15),IF(AND(F26=16,G26="Y"),LOOKUP(G7,Age,_RPR16),D240)))))))</f>
        <v>0</v>
      </c>
      <c r="D240" s="11" t="str">
        <f>IF(AND(F26=17,G26="Y"),LOOKUP(G7,Age,_RPR17),IF(AND(F26=18,G26="Y"),LOOKUP(G7,Age,_RPR18),IF(AND(F26=19,G26="Y"),LOOKUP(G7,Age,_RPR19),IF(AND(F26=20,G26="Y"),LOOKUP(G7,Age,_RPR20),IF(AND(F26=21,G26="Y"),LOOKUP(G7,Age,_RPR21),IF(AND(F26=22,G26="Y"),LOOKUP(G7,Age,_RPR22),IF(AND(F26=23,G26="Y"),LOOKUP(G7,Age,_RPR23),E240)))))))</f>
        <v>0</v>
      </c>
      <c r="E240" s="11" t="str">
        <f>IF(AND(F26=24,G26="Y"),LOOKUP(G7,Age,_RPR24),IF(AND(F26=25,G26="Y"),LOOKUP(G7,Age,_RPR25),"0"))</f>
        <v>0</v>
      </c>
      <c r="K240" s="23"/>
      <c r="S240" s="12"/>
      <c r="T240" s="12"/>
      <c r="U240" s="12"/>
      <c r="V240" s="12"/>
      <c r="W240" s="12"/>
      <c r="X240" s="12"/>
      <c r="Y240" s="12"/>
      <c r="Z240" s="12"/>
    </row>
    <row r="241" spans="1:26" hidden="1" x14ac:dyDescent="0.15">
      <c r="A241" s="22"/>
      <c r="K241" s="23"/>
      <c r="S241" s="12"/>
      <c r="T241" s="12"/>
      <c r="U241" s="12"/>
      <c r="V241" s="12"/>
      <c r="W241" s="12"/>
      <c r="X241" s="12"/>
      <c r="Y241" s="12"/>
      <c r="Z241" s="12"/>
    </row>
    <row r="242" spans="1:26" hidden="1" x14ac:dyDescent="0.15">
      <c r="A242" s="22" t="s">
        <v>218</v>
      </c>
      <c r="C242" s="11" t="str">
        <f>IF(AND(G8=10,G5=3,G25="y"),LOOKUP(G7,Age,_ND10),IF(AND(G8=15,G5=3,G25="y"),LOOKUP(G7,Age,_ND15),IF(AND(G8=20,G5=3,G25="y"),LOOKUP(G7,Age,_ND20),IF(AND(G8=18,G5=5,G25="y"),LOOKUP(G7,Age,_ND18),IF(AND(G8=21,G5=5,G25="y"),LOOKUP(G7,Age,_ND21),"0")))))</f>
        <v>0</v>
      </c>
      <c r="K242" s="23"/>
      <c r="S242" s="12"/>
      <c r="T242" s="12"/>
      <c r="U242" s="12"/>
      <c r="V242" s="12"/>
      <c r="W242" s="12"/>
      <c r="X242" s="12"/>
      <c r="Y242" s="12"/>
      <c r="Z242" s="12"/>
    </row>
    <row r="243" spans="1:26" hidden="1" x14ac:dyDescent="0.15">
      <c r="A243" s="22"/>
      <c r="K243" s="23"/>
      <c r="S243" s="12"/>
      <c r="T243" s="12"/>
      <c r="U243" s="12"/>
      <c r="V243" s="12"/>
      <c r="W243" s="12"/>
      <c r="X243" s="12"/>
      <c r="Y243" s="12"/>
      <c r="Z243" s="12"/>
    </row>
    <row r="244" spans="1:26" hidden="1" x14ac:dyDescent="0.15">
      <c r="A244" s="22"/>
      <c r="K244" s="23"/>
      <c r="S244" s="12"/>
      <c r="T244" s="12"/>
      <c r="V244" s="12"/>
      <c r="W244" s="12"/>
      <c r="X244" s="12"/>
      <c r="Y244" s="12"/>
      <c r="Z244" s="12"/>
    </row>
    <row r="245" spans="1:26" ht="14" hidden="1" thickBot="1" x14ac:dyDescent="0.2">
      <c r="A245" s="24"/>
      <c r="B245" s="25"/>
      <c r="C245" s="25"/>
      <c r="D245" s="25"/>
      <c r="E245" s="25"/>
      <c r="F245" s="25"/>
      <c r="G245" s="25"/>
      <c r="H245" s="25"/>
      <c r="I245" s="25"/>
      <c r="J245" s="25"/>
      <c r="K245" s="26"/>
    </row>
    <row r="246" spans="1:26" hidden="1" x14ac:dyDescent="0.15"/>
    <row r="247" spans="1:26" hidden="1" x14ac:dyDescent="0.15"/>
    <row r="248" spans="1:26" hidden="1" x14ac:dyDescent="0.15"/>
    <row r="249" spans="1:26" hidden="1" x14ac:dyDescent="0.15"/>
    <row r="250" spans="1:26" hidden="1" x14ac:dyDescent="0.15"/>
    <row r="251" spans="1:26" hidden="1" x14ac:dyDescent="0.15"/>
    <row r="252" spans="1:26" hidden="1" x14ac:dyDescent="0.15"/>
    <row r="253" spans="1:26" hidden="1" x14ac:dyDescent="0.15"/>
    <row r="254" spans="1:26" hidden="1" x14ac:dyDescent="0.15"/>
    <row r="255" spans="1:26" hidden="1" x14ac:dyDescent="0.15"/>
    <row r="256" spans="1:2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idden="1" x14ac:dyDescent="0.15"/>
    <row r="318" hidden="1" x14ac:dyDescent="0.15"/>
    <row r="319" hidden="1" x14ac:dyDescent="0.15"/>
    <row r="320"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hidden="1" x14ac:dyDescent="0.15"/>
    <row r="352" hidden="1" x14ac:dyDescent="0.15"/>
    <row r="353" hidden="1" x14ac:dyDescent="0.15"/>
    <row r="354" hidden="1" x14ac:dyDescent="0.15"/>
    <row r="355" hidden="1" x14ac:dyDescent="0.15"/>
    <row r="356" hidden="1" x14ac:dyDescent="0.15"/>
    <row r="357" hidden="1" x14ac:dyDescent="0.15"/>
    <row r="358" hidden="1" x14ac:dyDescent="0.15"/>
    <row r="359" hidden="1" x14ac:dyDescent="0.15"/>
    <row r="360" hidden="1" x14ac:dyDescent="0.15"/>
    <row r="361" hidden="1" x14ac:dyDescent="0.15"/>
    <row r="362" hidden="1" x14ac:dyDescent="0.15"/>
    <row r="363" hidden="1" x14ac:dyDescent="0.15"/>
    <row r="364" hidden="1" x14ac:dyDescent="0.15"/>
    <row r="365" hidden="1" x14ac:dyDescent="0.15"/>
    <row r="366" hidden="1" x14ac:dyDescent="0.15"/>
    <row r="367" hidden="1" x14ac:dyDescent="0.15"/>
    <row r="368" hidden="1" x14ac:dyDescent="0.15"/>
    <row r="369" hidden="1" x14ac:dyDescent="0.15"/>
    <row r="370" hidden="1" x14ac:dyDescent="0.15"/>
    <row r="371" hidden="1" x14ac:dyDescent="0.15"/>
    <row r="372" hidden="1" x14ac:dyDescent="0.15"/>
    <row r="373" hidden="1" x14ac:dyDescent="0.15"/>
    <row r="374" hidden="1" x14ac:dyDescent="0.15"/>
    <row r="375" hidden="1" x14ac:dyDescent="0.15"/>
    <row r="376" hidden="1" x14ac:dyDescent="0.15"/>
    <row r="377" hidden="1" x14ac:dyDescent="0.15"/>
    <row r="378" hidden="1" x14ac:dyDescent="0.15"/>
    <row r="379" hidden="1" x14ac:dyDescent="0.15"/>
    <row r="380" hidden="1" x14ac:dyDescent="0.15"/>
    <row r="381" hidden="1" x14ac:dyDescent="0.15"/>
    <row r="382" hidden="1" x14ac:dyDescent="0.15"/>
    <row r="383" hidden="1" x14ac:dyDescent="0.15"/>
    <row r="384" hidden="1" x14ac:dyDescent="0.15"/>
    <row r="385" hidden="1" x14ac:dyDescent="0.15"/>
    <row r="386" hidden="1" x14ac:dyDescent="0.15"/>
    <row r="387" hidden="1" x14ac:dyDescent="0.15"/>
    <row r="388" hidden="1" x14ac:dyDescent="0.15"/>
    <row r="389" hidden="1" x14ac:dyDescent="0.15"/>
    <row r="390" hidden="1" x14ac:dyDescent="0.15"/>
    <row r="391" hidden="1" x14ac:dyDescent="0.15"/>
    <row r="392" hidden="1" x14ac:dyDescent="0.15"/>
    <row r="393" hidden="1" x14ac:dyDescent="0.15"/>
    <row r="394" hidden="1" x14ac:dyDescent="0.15"/>
    <row r="395" hidden="1" x14ac:dyDescent="0.15"/>
    <row r="396" hidden="1" x14ac:dyDescent="0.15"/>
    <row r="397" hidden="1" x14ac:dyDescent="0.15"/>
    <row r="398" hidden="1" x14ac:dyDescent="0.15"/>
    <row r="399" hidden="1" x14ac:dyDescent="0.15"/>
    <row r="400" hidden="1" x14ac:dyDescent="0.15"/>
    <row r="401" hidden="1" x14ac:dyDescent="0.15"/>
    <row r="402" hidden="1" x14ac:dyDescent="0.15"/>
    <row r="403" hidden="1" x14ac:dyDescent="0.15"/>
    <row r="404" hidden="1" x14ac:dyDescent="0.15"/>
    <row r="405" hidden="1" x14ac:dyDescent="0.15"/>
    <row r="406" hidden="1" x14ac:dyDescent="0.15"/>
    <row r="407" hidden="1" x14ac:dyDescent="0.15"/>
    <row r="408" hidden="1" x14ac:dyDescent="0.15"/>
    <row r="409" hidden="1" x14ac:dyDescent="0.15"/>
    <row r="410" hidden="1" x14ac:dyDescent="0.15"/>
    <row r="411" hidden="1" x14ac:dyDescent="0.15"/>
    <row r="412" hidden="1" x14ac:dyDescent="0.15"/>
    <row r="413" hidden="1" x14ac:dyDescent="0.15"/>
    <row r="414" hidden="1" x14ac:dyDescent="0.15"/>
    <row r="415" hidden="1" x14ac:dyDescent="0.15"/>
    <row r="416" hidden="1" x14ac:dyDescent="0.15"/>
    <row r="417" hidden="1" x14ac:dyDescent="0.15"/>
    <row r="418" hidden="1" x14ac:dyDescent="0.15"/>
    <row r="419" hidden="1" x14ac:dyDescent="0.15"/>
    <row r="420" hidden="1" x14ac:dyDescent="0.15"/>
    <row r="421" hidden="1" x14ac:dyDescent="0.15"/>
    <row r="422" hidden="1" x14ac:dyDescent="0.15"/>
    <row r="423" hidden="1" x14ac:dyDescent="0.15"/>
    <row r="424" hidden="1" x14ac:dyDescent="0.15"/>
    <row r="425" hidden="1" x14ac:dyDescent="0.15"/>
    <row r="426" hidden="1" x14ac:dyDescent="0.15"/>
    <row r="427" hidden="1" x14ac:dyDescent="0.15"/>
    <row r="428" hidden="1" x14ac:dyDescent="0.15"/>
    <row r="429" hidden="1" x14ac:dyDescent="0.15"/>
    <row r="430" hidden="1" x14ac:dyDescent="0.15"/>
    <row r="431" hidden="1" x14ac:dyDescent="0.15"/>
    <row r="432" hidden="1" x14ac:dyDescent="0.15"/>
    <row r="433" hidden="1" x14ac:dyDescent="0.15"/>
    <row r="434" hidden="1" x14ac:dyDescent="0.15"/>
    <row r="435" hidden="1" x14ac:dyDescent="0.15"/>
    <row r="436" hidden="1" x14ac:dyDescent="0.15"/>
    <row r="437" hidden="1" x14ac:dyDescent="0.15"/>
    <row r="438" hidden="1" x14ac:dyDescent="0.15"/>
    <row r="439" hidden="1" x14ac:dyDescent="0.15"/>
    <row r="440" hidden="1" x14ac:dyDescent="0.15"/>
    <row r="441" hidden="1" x14ac:dyDescent="0.15"/>
    <row r="442" hidden="1" x14ac:dyDescent="0.15"/>
    <row r="443" hidden="1" x14ac:dyDescent="0.15"/>
    <row r="444" hidden="1" x14ac:dyDescent="0.15"/>
    <row r="445" hidden="1" x14ac:dyDescent="0.15"/>
    <row r="446" hidden="1" x14ac:dyDescent="0.15"/>
    <row r="447" hidden="1" x14ac:dyDescent="0.15"/>
    <row r="448" hidden="1" x14ac:dyDescent="0.15"/>
    <row r="449" hidden="1" x14ac:dyDescent="0.15"/>
    <row r="450" hidden="1" x14ac:dyDescent="0.15"/>
    <row r="451" hidden="1" x14ac:dyDescent="0.15"/>
    <row r="452" hidden="1" x14ac:dyDescent="0.15"/>
    <row r="453" hidden="1" x14ac:dyDescent="0.15"/>
    <row r="454" hidden="1" x14ac:dyDescent="0.15"/>
    <row r="455" hidden="1" x14ac:dyDescent="0.15"/>
    <row r="456" hidden="1" x14ac:dyDescent="0.15"/>
    <row r="457" hidden="1" x14ac:dyDescent="0.15"/>
    <row r="458" hidden="1" x14ac:dyDescent="0.15"/>
    <row r="459" hidden="1" x14ac:dyDescent="0.15"/>
    <row r="460" hidden="1" x14ac:dyDescent="0.15"/>
    <row r="461" hidden="1" x14ac:dyDescent="0.15"/>
    <row r="462" hidden="1" x14ac:dyDescent="0.15"/>
    <row r="463" hidden="1" x14ac:dyDescent="0.15"/>
    <row r="464" hidden="1" x14ac:dyDescent="0.15"/>
    <row r="465" hidden="1" x14ac:dyDescent="0.15"/>
    <row r="466" hidden="1" x14ac:dyDescent="0.15"/>
    <row r="467" hidden="1" x14ac:dyDescent="0.15"/>
    <row r="468" hidden="1" x14ac:dyDescent="0.15"/>
    <row r="469" hidden="1" x14ac:dyDescent="0.15"/>
    <row r="470" hidden="1" x14ac:dyDescent="0.15"/>
    <row r="471" hidden="1" x14ac:dyDescent="0.15"/>
    <row r="472" hidden="1" x14ac:dyDescent="0.15"/>
    <row r="473" hidden="1" x14ac:dyDescent="0.15"/>
    <row r="474" hidden="1" x14ac:dyDescent="0.15"/>
    <row r="475" hidden="1" x14ac:dyDescent="0.15"/>
    <row r="476" hidden="1" x14ac:dyDescent="0.15"/>
    <row r="477" hidden="1" x14ac:dyDescent="0.15"/>
    <row r="478" hidden="1" x14ac:dyDescent="0.15"/>
    <row r="479" hidden="1" x14ac:dyDescent="0.15"/>
    <row r="480" hidden="1" x14ac:dyDescent="0.15"/>
    <row r="481" hidden="1" x14ac:dyDescent="0.15"/>
    <row r="482" hidden="1" x14ac:dyDescent="0.15"/>
    <row r="483" hidden="1" x14ac:dyDescent="0.15"/>
    <row r="484" hidden="1" x14ac:dyDescent="0.15"/>
    <row r="485" hidden="1" x14ac:dyDescent="0.15"/>
    <row r="486" hidden="1" x14ac:dyDescent="0.15"/>
    <row r="487" hidden="1" x14ac:dyDescent="0.15"/>
    <row r="488" hidden="1" x14ac:dyDescent="0.15"/>
    <row r="489" hidden="1" x14ac:dyDescent="0.15"/>
    <row r="490" hidden="1" x14ac:dyDescent="0.15"/>
    <row r="491" hidden="1" x14ac:dyDescent="0.15"/>
    <row r="492" hidden="1" x14ac:dyDescent="0.15"/>
    <row r="493" hidden="1" x14ac:dyDescent="0.15"/>
    <row r="494" hidden="1" x14ac:dyDescent="0.15"/>
    <row r="495" hidden="1" x14ac:dyDescent="0.15"/>
    <row r="496" hidden="1" x14ac:dyDescent="0.15"/>
    <row r="497" hidden="1" x14ac:dyDescent="0.15"/>
    <row r="498" hidden="1" x14ac:dyDescent="0.15"/>
    <row r="499" hidden="1" x14ac:dyDescent="0.15"/>
    <row r="500" hidden="1" x14ac:dyDescent="0.15"/>
    <row r="501" hidden="1" x14ac:dyDescent="0.15"/>
    <row r="502" hidden="1" x14ac:dyDescent="0.15"/>
    <row r="503" hidden="1" x14ac:dyDescent="0.15"/>
    <row r="504" hidden="1" x14ac:dyDescent="0.15"/>
    <row r="505" hidden="1" x14ac:dyDescent="0.15"/>
    <row r="506" hidden="1" x14ac:dyDescent="0.15"/>
    <row r="507" hidden="1" x14ac:dyDescent="0.15"/>
    <row r="508" hidden="1" x14ac:dyDescent="0.15"/>
    <row r="509" hidden="1" x14ac:dyDescent="0.15"/>
    <row r="510" hidden="1" x14ac:dyDescent="0.15"/>
    <row r="511" hidden="1" x14ac:dyDescent="0.15"/>
    <row r="512" hidden="1" x14ac:dyDescent="0.15"/>
    <row r="513" hidden="1" x14ac:dyDescent="0.15"/>
    <row r="514" hidden="1" x14ac:dyDescent="0.15"/>
    <row r="515" hidden="1" x14ac:dyDescent="0.15"/>
    <row r="516" hidden="1" x14ac:dyDescent="0.15"/>
    <row r="517" hidden="1" x14ac:dyDescent="0.15"/>
    <row r="518" hidden="1" x14ac:dyDescent="0.15"/>
    <row r="519" hidden="1" x14ac:dyDescent="0.15"/>
    <row r="520" hidden="1" x14ac:dyDescent="0.15"/>
    <row r="521" hidden="1" x14ac:dyDescent="0.15"/>
    <row r="522" hidden="1" x14ac:dyDescent="0.15"/>
    <row r="523" hidden="1" x14ac:dyDescent="0.15"/>
    <row r="524" hidden="1" x14ac:dyDescent="0.15"/>
    <row r="525" hidden="1" x14ac:dyDescent="0.15"/>
    <row r="526" hidden="1" x14ac:dyDescent="0.15"/>
    <row r="527" hidden="1" x14ac:dyDescent="0.15"/>
    <row r="528" hidden="1" x14ac:dyDescent="0.15"/>
    <row r="529" hidden="1" x14ac:dyDescent="0.15"/>
    <row r="530" hidden="1" x14ac:dyDescent="0.15"/>
    <row r="531" hidden="1" x14ac:dyDescent="0.15"/>
    <row r="532" hidden="1" x14ac:dyDescent="0.15"/>
    <row r="533" hidden="1" x14ac:dyDescent="0.15"/>
    <row r="534" hidden="1" x14ac:dyDescent="0.15"/>
    <row r="535" hidden="1" x14ac:dyDescent="0.15"/>
    <row r="536" hidden="1" x14ac:dyDescent="0.15"/>
    <row r="537" hidden="1" x14ac:dyDescent="0.15"/>
    <row r="538" hidden="1" x14ac:dyDescent="0.15"/>
    <row r="539" hidden="1" x14ac:dyDescent="0.15"/>
    <row r="540" hidden="1" x14ac:dyDescent="0.15"/>
    <row r="541" hidden="1" x14ac:dyDescent="0.15"/>
    <row r="542" hidden="1" x14ac:dyDescent="0.15"/>
    <row r="543" hidden="1" x14ac:dyDescent="0.15"/>
    <row r="544" hidden="1" x14ac:dyDescent="0.15"/>
    <row r="545" hidden="1" x14ac:dyDescent="0.15"/>
    <row r="546" hidden="1" x14ac:dyDescent="0.15"/>
    <row r="547" hidden="1" x14ac:dyDescent="0.15"/>
    <row r="548" hidden="1" x14ac:dyDescent="0.15"/>
    <row r="549" hidden="1" x14ac:dyDescent="0.15"/>
    <row r="550" hidden="1" x14ac:dyDescent="0.15"/>
    <row r="551" hidden="1" x14ac:dyDescent="0.15"/>
    <row r="552" hidden="1" x14ac:dyDescent="0.15"/>
    <row r="553" hidden="1" x14ac:dyDescent="0.15"/>
    <row r="554" hidden="1" x14ac:dyDescent="0.15"/>
    <row r="555" hidden="1" x14ac:dyDescent="0.15"/>
    <row r="556" hidden="1" x14ac:dyDescent="0.15"/>
    <row r="557" hidden="1" x14ac:dyDescent="0.15"/>
    <row r="558" hidden="1" x14ac:dyDescent="0.15"/>
    <row r="559" hidden="1" x14ac:dyDescent="0.15"/>
    <row r="560" hidden="1" x14ac:dyDescent="0.15"/>
    <row r="561" hidden="1" x14ac:dyDescent="0.15"/>
    <row r="562" hidden="1" x14ac:dyDescent="0.15"/>
    <row r="563" hidden="1" x14ac:dyDescent="0.15"/>
    <row r="564" hidden="1" x14ac:dyDescent="0.15"/>
    <row r="565" hidden="1" x14ac:dyDescent="0.15"/>
    <row r="566" hidden="1" x14ac:dyDescent="0.15"/>
    <row r="567" hidden="1" x14ac:dyDescent="0.15"/>
    <row r="568" hidden="1" x14ac:dyDescent="0.15"/>
    <row r="569" hidden="1" x14ac:dyDescent="0.15"/>
    <row r="570" hidden="1" x14ac:dyDescent="0.15"/>
    <row r="571" hidden="1" x14ac:dyDescent="0.15"/>
    <row r="572" hidden="1" x14ac:dyDescent="0.15"/>
    <row r="573" hidden="1" x14ac:dyDescent="0.15"/>
    <row r="574" hidden="1" x14ac:dyDescent="0.15"/>
    <row r="575" hidden="1" x14ac:dyDescent="0.15"/>
    <row r="576" hidden="1" x14ac:dyDescent="0.15"/>
    <row r="577" hidden="1" x14ac:dyDescent="0.15"/>
    <row r="578" hidden="1" x14ac:dyDescent="0.15"/>
    <row r="579" hidden="1" x14ac:dyDescent="0.15"/>
    <row r="580" hidden="1" x14ac:dyDescent="0.15"/>
    <row r="581" hidden="1" x14ac:dyDescent="0.15"/>
    <row r="582" hidden="1" x14ac:dyDescent="0.15"/>
    <row r="583" hidden="1" x14ac:dyDescent="0.15"/>
    <row r="584" hidden="1" x14ac:dyDescent="0.15"/>
    <row r="585" hidden="1" x14ac:dyDescent="0.15"/>
    <row r="586" hidden="1" x14ac:dyDescent="0.15"/>
    <row r="587" hidden="1" x14ac:dyDescent="0.15"/>
    <row r="588" hidden="1" x14ac:dyDescent="0.15"/>
    <row r="589" hidden="1" x14ac:dyDescent="0.15"/>
    <row r="590" hidden="1" x14ac:dyDescent="0.15"/>
    <row r="591" hidden="1" x14ac:dyDescent="0.15"/>
    <row r="592" hidden="1" x14ac:dyDescent="0.15"/>
    <row r="593" hidden="1" x14ac:dyDescent="0.15"/>
    <row r="594" hidden="1" x14ac:dyDescent="0.15"/>
    <row r="595" hidden="1" x14ac:dyDescent="0.15"/>
    <row r="596" hidden="1" x14ac:dyDescent="0.15"/>
    <row r="597" hidden="1" x14ac:dyDescent="0.15"/>
    <row r="598" hidden="1" x14ac:dyDescent="0.15"/>
    <row r="599" hidden="1" x14ac:dyDescent="0.15"/>
    <row r="600" hidden="1" x14ac:dyDescent="0.15"/>
    <row r="601" hidden="1" x14ac:dyDescent="0.15"/>
    <row r="602" hidden="1" x14ac:dyDescent="0.15"/>
    <row r="603" hidden="1" x14ac:dyDescent="0.15"/>
    <row r="604" hidden="1" x14ac:dyDescent="0.15"/>
    <row r="605" hidden="1" x14ac:dyDescent="0.15"/>
    <row r="606" hidden="1" x14ac:dyDescent="0.15"/>
    <row r="607" hidden="1" x14ac:dyDescent="0.15"/>
    <row r="608" hidden="1" x14ac:dyDescent="0.15"/>
    <row r="609" hidden="1" x14ac:dyDescent="0.15"/>
    <row r="610" hidden="1" x14ac:dyDescent="0.15"/>
    <row r="611" hidden="1" x14ac:dyDescent="0.15"/>
    <row r="612" hidden="1" x14ac:dyDescent="0.15"/>
    <row r="613" hidden="1" x14ac:dyDescent="0.15"/>
    <row r="614" hidden="1" x14ac:dyDescent="0.15"/>
    <row r="615" hidden="1" x14ac:dyDescent="0.15"/>
    <row r="616" hidden="1" x14ac:dyDescent="0.15"/>
    <row r="617" hidden="1" x14ac:dyDescent="0.15"/>
    <row r="618" hidden="1" x14ac:dyDescent="0.15"/>
    <row r="619" hidden="1" x14ac:dyDescent="0.15"/>
    <row r="620" hidden="1" x14ac:dyDescent="0.15"/>
    <row r="621" hidden="1" x14ac:dyDescent="0.15"/>
    <row r="622" hidden="1" x14ac:dyDescent="0.15"/>
    <row r="623" hidden="1" x14ac:dyDescent="0.15"/>
    <row r="624" hidden="1" x14ac:dyDescent="0.15"/>
    <row r="625" hidden="1" x14ac:dyDescent="0.15"/>
    <row r="626" hidden="1" x14ac:dyDescent="0.15"/>
    <row r="627" hidden="1" x14ac:dyDescent="0.15"/>
    <row r="628" hidden="1" x14ac:dyDescent="0.15"/>
    <row r="629" hidden="1" x14ac:dyDescent="0.15"/>
    <row r="630" hidden="1" x14ac:dyDescent="0.15"/>
    <row r="631" hidden="1" x14ac:dyDescent="0.15"/>
    <row r="632" hidden="1" x14ac:dyDescent="0.15"/>
    <row r="633" hidden="1" x14ac:dyDescent="0.15"/>
    <row r="634" hidden="1" x14ac:dyDescent="0.15"/>
    <row r="635" hidden="1" x14ac:dyDescent="0.15"/>
    <row r="636" hidden="1" x14ac:dyDescent="0.15"/>
    <row r="637" hidden="1" x14ac:dyDescent="0.15"/>
    <row r="638" hidden="1" x14ac:dyDescent="0.15"/>
    <row r="639" hidden="1" x14ac:dyDescent="0.15"/>
    <row r="640" hidden="1" x14ac:dyDescent="0.15"/>
    <row r="641" hidden="1" x14ac:dyDescent="0.15"/>
    <row r="642" hidden="1" x14ac:dyDescent="0.15"/>
    <row r="643" hidden="1" x14ac:dyDescent="0.15"/>
    <row r="644" hidden="1" x14ac:dyDescent="0.15"/>
    <row r="645" hidden="1" x14ac:dyDescent="0.15"/>
    <row r="646" hidden="1" x14ac:dyDescent="0.15"/>
    <row r="647" hidden="1" x14ac:dyDescent="0.15"/>
    <row r="648" hidden="1" x14ac:dyDescent="0.15"/>
    <row r="649" hidden="1" x14ac:dyDescent="0.15"/>
    <row r="650" hidden="1" x14ac:dyDescent="0.15"/>
    <row r="651" hidden="1" x14ac:dyDescent="0.15"/>
    <row r="652" hidden="1" x14ac:dyDescent="0.15"/>
    <row r="653" hidden="1" x14ac:dyDescent="0.15"/>
    <row r="654" hidden="1" x14ac:dyDescent="0.15"/>
    <row r="655" hidden="1" x14ac:dyDescent="0.15"/>
    <row r="656" hidden="1" x14ac:dyDescent="0.15"/>
    <row r="657" hidden="1" x14ac:dyDescent="0.15"/>
    <row r="658" hidden="1" x14ac:dyDescent="0.15"/>
    <row r="659" hidden="1" x14ac:dyDescent="0.15"/>
    <row r="660" hidden="1" x14ac:dyDescent="0.15"/>
    <row r="661" hidden="1" x14ac:dyDescent="0.15"/>
    <row r="662" hidden="1" x14ac:dyDescent="0.15"/>
    <row r="663" hidden="1" x14ac:dyDescent="0.15"/>
    <row r="664" hidden="1" x14ac:dyDescent="0.15"/>
    <row r="665" hidden="1" x14ac:dyDescent="0.15"/>
    <row r="666" hidden="1" x14ac:dyDescent="0.15"/>
    <row r="667" hidden="1" x14ac:dyDescent="0.15"/>
    <row r="668" hidden="1" x14ac:dyDescent="0.15"/>
    <row r="669" hidden="1" x14ac:dyDescent="0.15"/>
    <row r="670" hidden="1" x14ac:dyDescent="0.15"/>
    <row r="671" hidden="1" x14ac:dyDescent="0.15"/>
    <row r="672" hidden="1" x14ac:dyDescent="0.15"/>
    <row r="673" hidden="1" x14ac:dyDescent="0.15"/>
    <row r="674" hidden="1" x14ac:dyDescent="0.15"/>
    <row r="675" hidden="1" x14ac:dyDescent="0.15"/>
    <row r="676" hidden="1" x14ac:dyDescent="0.15"/>
    <row r="677" hidden="1" x14ac:dyDescent="0.15"/>
    <row r="678" hidden="1" x14ac:dyDescent="0.15"/>
    <row r="679" hidden="1" x14ac:dyDescent="0.15"/>
    <row r="680" hidden="1" x14ac:dyDescent="0.15"/>
    <row r="681" hidden="1" x14ac:dyDescent="0.15"/>
    <row r="682" hidden="1" x14ac:dyDescent="0.15"/>
    <row r="683" hidden="1" x14ac:dyDescent="0.15"/>
    <row r="684" hidden="1" x14ac:dyDescent="0.15"/>
    <row r="685" hidden="1" x14ac:dyDescent="0.15"/>
    <row r="686" hidden="1" x14ac:dyDescent="0.15"/>
    <row r="687" hidden="1" x14ac:dyDescent="0.15"/>
    <row r="688" hidden="1" x14ac:dyDescent="0.15"/>
    <row r="689" hidden="1" x14ac:dyDescent="0.15"/>
    <row r="690" hidden="1" x14ac:dyDescent="0.15"/>
    <row r="691" hidden="1" x14ac:dyDescent="0.15"/>
    <row r="692" hidden="1" x14ac:dyDescent="0.15"/>
    <row r="693" hidden="1" x14ac:dyDescent="0.15"/>
    <row r="694" hidden="1" x14ac:dyDescent="0.15"/>
    <row r="695" hidden="1" x14ac:dyDescent="0.15"/>
    <row r="696" hidden="1" x14ac:dyDescent="0.15"/>
    <row r="697" hidden="1" x14ac:dyDescent="0.15"/>
    <row r="698" hidden="1" x14ac:dyDescent="0.15"/>
    <row r="699" hidden="1" x14ac:dyDescent="0.15"/>
    <row r="700" hidden="1" x14ac:dyDescent="0.15"/>
    <row r="701" hidden="1" x14ac:dyDescent="0.15"/>
    <row r="702" hidden="1" x14ac:dyDescent="0.15"/>
    <row r="703" hidden="1" x14ac:dyDescent="0.15"/>
    <row r="704" hidden="1" x14ac:dyDescent="0.15"/>
    <row r="705" hidden="1" x14ac:dyDescent="0.15"/>
    <row r="706" hidden="1" x14ac:dyDescent="0.15"/>
    <row r="707" hidden="1" x14ac:dyDescent="0.15"/>
    <row r="708" hidden="1" x14ac:dyDescent="0.15"/>
    <row r="709" hidden="1" x14ac:dyDescent="0.15"/>
    <row r="710" hidden="1" x14ac:dyDescent="0.15"/>
    <row r="711" hidden="1" x14ac:dyDescent="0.15"/>
    <row r="712" hidden="1" x14ac:dyDescent="0.15"/>
    <row r="713" hidden="1" x14ac:dyDescent="0.15"/>
    <row r="714" hidden="1" x14ac:dyDescent="0.15"/>
    <row r="715" hidden="1" x14ac:dyDescent="0.15"/>
    <row r="716" hidden="1" x14ac:dyDescent="0.15"/>
    <row r="717" hidden="1" x14ac:dyDescent="0.15"/>
    <row r="718" hidden="1" x14ac:dyDescent="0.15"/>
    <row r="719" hidden="1" x14ac:dyDescent="0.15"/>
    <row r="720" hidden="1" x14ac:dyDescent="0.15"/>
    <row r="721" hidden="1" x14ac:dyDescent="0.15"/>
    <row r="722" hidden="1" x14ac:dyDescent="0.15"/>
    <row r="723" hidden="1" x14ac:dyDescent="0.15"/>
    <row r="724" hidden="1" x14ac:dyDescent="0.15"/>
    <row r="725" hidden="1" x14ac:dyDescent="0.15"/>
    <row r="726" hidden="1" x14ac:dyDescent="0.15"/>
    <row r="727" hidden="1" x14ac:dyDescent="0.15"/>
    <row r="728" hidden="1" x14ac:dyDescent="0.15"/>
    <row r="729" hidden="1" x14ac:dyDescent="0.15"/>
    <row r="730" hidden="1" x14ac:dyDescent="0.15"/>
    <row r="731" hidden="1" x14ac:dyDescent="0.15"/>
    <row r="732" hidden="1" x14ac:dyDescent="0.15"/>
    <row r="733" hidden="1" x14ac:dyDescent="0.15"/>
    <row r="734" hidden="1" x14ac:dyDescent="0.15"/>
    <row r="735" hidden="1" x14ac:dyDescent="0.15"/>
    <row r="736" hidden="1" x14ac:dyDescent="0.15"/>
    <row r="737" hidden="1" x14ac:dyDescent="0.15"/>
    <row r="738" hidden="1" x14ac:dyDescent="0.15"/>
    <row r="739" hidden="1" x14ac:dyDescent="0.15"/>
    <row r="740" hidden="1" x14ac:dyDescent="0.15"/>
    <row r="741" hidden="1" x14ac:dyDescent="0.15"/>
    <row r="742" hidden="1" x14ac:dyDescent="0.15"/>
    <row r="743" hidden="1" x14ac:dyDescent="0.15"/>
    <row r="744" hidden="1" x14ac:dyDescent="0.15"/>
    <row r="745" hidden="1" x14ac:dyDescent="0.15"/>
    <row r="746" hidden="1" x14ac:dyDescent="0.15"/>
    <row r="747" hidden="1" x14ac:dyDescent="0.15"/>
    <row r="748" hidden="1" x14ac:dyDescent="0.15"/>
    <row r="749" hidden="1" x14ac:dyDescent="0.15"/>
    <row r="750" hidden="1" x14ac:dyDescent="0.15"/>
    <row r="751" hidden="1" x14ac:dyDescent="0.15"/>
    <row r="752" hidden="1" x14ac:dyDescent="0.15"/>
    <row r="753" hidden="1" x14ac:dyDescent="0.15"/>
    <row r="754" hidden="1" x14ac:dyDescent="0.15"/>
    <row r="755" hidden="1" x14ac:dyDescent="0.15"/>
    <row r="756" hidden="1" x14ac:dyDescent="0.15"/>
    <row r="757" hidden="1" x14ac:dyDescent="0.15"/>
    <row r="758" hidden="1" x14ac:dyDescent="0.15"/>
    <row r="759" hidden="1" x14ac:dyDescent="0.15"/>
    <row r="760" hidden="1" x14ac:dyDescent="0.15"/>
    <row r="761" hidden="1" x14ac:dyDescent="0.15"/>
  </sheetData>
  <sheetProtection password="D3C7" sheet="1" objects="1" scenarios="1"/>
  <mergeCells count="3">
    <mergeCell ref="I4:J4"/>
    <mergeCell ref="C3:J3"/>
    <mergeCell ref="B30:K30"/>
  </mergeCells>
  <phoneticPr fontId="0" type="noConversion"/>
  <pageMargins left="0.75" right="0.75" top="1" bottom="1" header="0.5" footer="0.5"/>
  <pageSetup scale="90" orientation="landscape" blackAndWhite="1" horizontalDpi="180" verticalDpi="18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workbookViewId="0"/>
  </sheetViews>
  <sheetFormatPr baseColWidth="10" defaultColWidth="8.83203125" defaultRowHeight="13" x14ac:dyDescent="0.15"/>
  <cols>
    <col min="1" max="1" width="9.33203125" style="33" bestFit="1" customWidth="1"/>
    <col min="2" max="2" width="4" style="33" customWidth="1"/>
    <col min="3" max="3" width="31.5" style="33" customWidth="1"/>
    <col min="4" max="5" width="19.5" style="33" customWidth="1"/>
    <col min="6" max="6" width="25.6640625" style="33" customWidth="1"/>
    <col min="7" max="7" width="4.5" style="33" customWidth="1"/>
    <col min="8" max="16384" width="8.83203125" style="33"/>
  </cols>
  <sheetData>
    <row r="1" spans="2:7" ht="22.5" customHeight="1" thickBot="1" x14ac:dyDescent="0.2"/>
    <row r="2" spans="2:7" ht="27.75" customHeight="1" x14ac:dyDescent="0.3">
      <c r="B2" s="232"/>
      <c r="C2" s="406" t="s">
        <v>300</v>
      </c>
      <c r="D2" s="406"/>
      <c r="E2" s="406"/>
      <c r="F2" s="406"/>
      <c r="G2" s="233"/>
    </row>
    <row r="3" spans="2:7" ht="27" thickBot="1" x14ac:dyDescent="0.35">
      <c r="B3" s="230"/>
      <c r="C3" s="237"/>
      <c r="D3" s="238" t="s">
        <v>298</v>
      </c>
      <c r="E3" s="238" t="s">
        <v>296</v>
      </c>
      <c r="F3" s="238" t="s">
        <v>297</v>
      </c>
      <c r="G3" s="231"/>
    </row>
    <row r="4" spans="2:7" ht="27" thickBot="1" x14ac:dyDescent="0.35">
      <c r="B4" s="230"/>
      <c r="C4" s="239" t="s">
        <v>293</v>
      </c>
      <c r="D4" s="275">
        <v>22</v>
      </c>
      <c r="E4" s="275">
        <v>3</v>
      </c>
      <c r="F4" s="275">
        <v>2018</v>
      </c>
      <c r="G4" s="231"/>
    </row>
    <row r="5" spans="2:7" ht="27" thickBot="1" x14ac:dyDescent="0.35">
      <c r="B5" s="230"/>
      <c r="C5" s="240" t="s">
        <v>294</v>
      </c>
      <c r="D5" s="276">
        <v>21</v>
      </c>
      <c r="E5" s="276">
        <v>12</v>
      </c>
      <c r="F5" s="276">
        <v>1968</v>
      </c>
      <c r="G5" s="231"/>
    </row>
    <row r="6" spans="2:7" ht="26" x14ac:dyDescent="0.3">
      <c r="B6" s="230"/>
      <c r="C6" s="239" t="s">
        <v>301</v>
      </c>
      <c r="D6" s="234">
        <f>IF(D5&gt;D4,D4+30-D5,D4-D5)</f>
        <v>1</v>
      </c>
      <c r="E6" s="234">
        <f>IF(E5&gt;A28,A28+12-E5,A28-E5)</f>
        <v>3</v>
      </c>
      <c r="F6" s="234">
        <f>IF(E5&gt;A28,F4-F5-1,F4-F5)</f>
        <v>49</v>
      </c>
      <c r="G6" s="231"/>
    </row>
    <row r="7" spans="2:7" ht="26" x14ac:dyDescent="0.3">
      <c r="B7" s="230"/>
      <c r="C7" s="237"/>
      <c r="D7" s="236"/>
      <c r="E7" s="236"/>
      <c r="F7" s="236"/>
      <c r="G7" s="231"/>
    </row>
    <row r="8" spans="2:7" ht="26" x14ac:dyDescent="0.3">
      <c r="B8" s="230"/>
      <c r="C8" s="235" t="s">
        <v>295</v>
      </c>
      <c r="D8" s="235"/>
      <c r="E8" s="234">
        <f>IF(E6&gt;5,F6+1,F6)</f>
        <v>49</v>
      </c>
      <c r="F8" s="234" t="s">
        <v>299</v>
      </c>
      <c r="G8" s="231"/>
    </row>
    <row r="9" spans="2:7" ht="26" x14ac:dyDescent="0.3">
      <c r="B9" s="230"/>
      <c r="C9" s="256"/>
      <c r="D9" s="237"/>
      <c r="E9" s="256"/>
      <c r="F9" s="256"/>
      <c r="G9" s="231"/>
    </row>
    <row r="10" spans="2:7" ht="30" customHeight="1" thickBot="1" x14ac:dyDescent="0.3">
      <c r="B10" s="327"/>
      <c r="C10" s="328"/>
      <c r="D10" s="329"/>
      <c r="E10" s="329"/>
      <c r="F10" s="329"/>
      <c r="G10" s="330"/>
    </row>
    <row r="28" spans="1:1" hidden="1" x14ac:dyDescent="0.15">
      <c r="A28" s="33">
        <f>IF(D5&gt;D4,E4-1,E4)</f>
        <v>3</v>
      </c>
    </row>
  </sheetData>
  <sheetProtection password="D04A" sheet="1" objects="1" scenarios="1"/>
  <mergeCells count="1">
    <mergeCell ref="C2:F2"/>
  </mergeCells>
  <phoneticPr fontId="0" type="noConversion"/>
  <pageMargins left="0.75" right="0.75" top="1" bottom="1" header="0.5" footer="0.5"/>
  <pageSetup orientation="landscape"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113"/>
  <sheetViews>
    <sheetView workbookViewId="0">
      <selection activeCell="D21" sqref="D21"/>
    </sheetView>
  </sheetViews>
  <sheetFormatPr baseColWidth="10" defaultColWidth="8.83203125" defaultRowHeight="13" x14ac:dyDescent="0.15"/>
  <cols>
    <col min="1" max="1" width="8" style="33" customWidth="1"/>
    <col min="2" max="2" width="4.83203125" style="33" customWidth="1"/>
    <col min="3" max="4" width="23.5" style="33" customWidth="1"/>
    <col min="5" max="5" width="5.1640625" style="33" customWidth="1"/>
    <col min="6" max="6" width="16.83203125" style="33" customWidth="1"/>
    <col min="7" max="7" width="14.6640625" style="33" customWidth="1"/>
    <col min="8" max="8" width="12.83203125" style="33" customWidth="1"/>
    <col min="9" max="9" width="19.5" style="33" bestFit="1" customWidth="1"/>
    <col min="10" max="10" width="4.83203125" style="33" customWidth="1"/>
    <col min="11" max="16384" width="8.83203125" style="33"/>
  </cols>
  <sheetData>
    <row r="1" spans="2:10" ht="14" thickBot="1" x14ac:dyDescent="0.2"/>
    <row r="2" spans="2:10" ht="23" x14ac:dyDescent="0.25">
      <c r="B2" s="249"/>
      <c r="C2" s="386" t="s">
        <v>366</v>
      </c>
      <c r="D2" s="386"/>
      <c r="E2" s="386"/>
      <c r="F2" s="386"/>
      <c r="G2" s="386"/>
      <c r="H2" s="386"/>
      <c r="I2" s="386"/>
      <c r="J2" s="250"/>
    </row>
    <row r="3" spans="2:10" ht="20" customHeight="1" x14ac:dyDescent="0.2">
      <c r="B3" s="251"/>
      <c r="C3" s="244" t="s">
        <v>309</v>
      </c>
      <c r="D3" s="244"/>
      <c r="E3" s="244"/>
      <c r="F3" s="244"/>
      <c r="G3" s="244"/>
      <c r="H3" s="409">
        <f>APCS!G4</f>
        <v>1000000</v>
      </c>
      <c r="I3" s="409"/>
      <c r="J3" s="252"/>
    </row>
    <row r="4" spans="2:10" ht="20" customHeight="1" x14ac:dyDescent="0.2">
      <c r="B4" s="251"/>
      <c r="C4" s="243" t="s">
        <v>272</v>
      </c>
      <c r="D4" s="243"/>
      <c r="E4" s="243"/>
      <c r="F4" s="243"/>
      <c r="G4" s="243"/>
      <c r="H4" s="411">
        <f>APCS!G8</f>
        <v>20</v>
      </c>
      <c r="I4" s="411"/>
      <c r="J4" s="252"/>
    </row>
    <row r="5" spans="2:10" ht="20" customHeight="1" x14ac:dyDescent="0.2">
      <c r="B5" s="251"/>
      <c r="C5" s="244" t="s">
        <v>177</v>
      </c>
      <c r="D5" s="244"/>
      <c r="E5" s="244"/>
      <c r="F5" s="244"/>
      <c r="G5" s="244"/>
      <c r="H5" s="409">
        <f>APCS!G5</f>
        <v>3</v>
      </c>
      <c r="I5" s="409"/>
      <c r="J5" s="252"/>
    </row>
    <row r="6" spans="2:10" ht="20" customHeight="1" x14ac:dyDescent="0.2">
      <c r="B6" s="251"/>
      <c r="C6" s="243" t="s">
        <v>226</v>
      </c>
      <c r="D6" s="243"/>
      <c r="E6" s="243"/>
      <c r="F6" s="243"/>
      <c r="G6" s="243"/>
      <c r="H6" s="411">
        <f>APCS!G10</f>
        <v>0</v>
      </c>
      <c r="I6" s="411"/>
      <c r="J6" s="252"/>
    </row>
    <row r="7" spans="2:10" ht="20" customHeight="1" x14ac:dyDescent="0.2">
      <c r="B7" s="251"/>
      <c r="C7" s="244" t="s">
        <v>0</v>
      </c>
      <c r="D7" s="244"/>
      <c r="E7" s="244"/>
      <c r="F7" s="244"/>
      <c r="G7" s="244"/>
      <c r="H7" s="409">
        <f>APCS!G6</f>
        <v>24</v>
      </c>
      <c r="I7" s="409"/>
      <c r="J7" s="252"/>
    </row>
    <row r="8" spans="2:10" ht="22" thickBot="1" x14ac:dyDescent="0.3">
      <c r="B8" s="253"/>
      <c r="C8" s="254" t="s">
        <v>313</v>
      </c>
      <c r="D8" s="247"/>
      <c r="E8" s="247"/>
      <c r="F8" s="247"/>
      <c r="G8" s="247"/>
      <c r="H8" s="410">
        <f>IF(OR(H5=3,H5=4,H5=6,H5=7,H5=9,H5=17,H5=18,H5=19,H5=36,H5=75,H5=76,H5=78),I48,IF(OR(H5=5,H5=12),I56,IF(H5=74,I76,IF(OR(H5=1,H5=2),I65,"No Any "))))</f>
        <v>3269000</v>
      </c>
      <c r="I8" s="410"/>
      <c r="J8" s="255"/>
    </row>
    <row r="9" spans="2:10" x14ac:dyDescent="0.15">
      <c r="C9" s="248"/>
      <c r="D9" s="248"/>
      <c r="E9" s="248"/>
      <c r="F9" s="248"/>
      <c r="G9" s="248"/>
      <c r="H9" s="248"/>
      <c r="I9" s="248"/>
    </row>
    <row r="10" spans="2:10" ht="14" thickBot="1" x14ac:dyDescent="0.2">
      <c r="C10" s="248"/>
      <c r="D10" s="248"/>
      <c r="E10" s="248"/>
      <c r="F10" s="248"/>
      <c r="G10" s="248"/>
      <c r="H10" s="248"/>
      <c r="I10" s="248"/>
    </row>
    <row r="11" spans="2:10" ht="23" x14ac:dyDescent="0.25">
      <c r="B11" s="249"/>
      <c r="C11" s="386" t="s">
        <v>567</v>
      </c>
      <c r="D11" s="386"/>
      <c r="E11" s="386"/>
      <c r="F11" s="386"/>
      <c r="G11" s="386"/>
      <c r="H11" s="386"/>
      <c r="I11" s="386"/>
      <c r="J11" s="250"/>
    </row>
    <row r="12" spans="2:10" ht="16" x14ac:dyDescent="0.2">
      <c r="B12" s="251"/>
      <c r="C12" s="241"/>
      <c r="D12" s="241"/>
      <c r="E12" s="241"/>
      <c r="F12" s="241"/>
      <c r="G12" s="241"/>
      <c r="H12" s="241"/>
      <c r="I12" s="241"/>
      <c r="J12" s="252"/>
    </row>
    <row r="13" spans="2:10" ht="16" x14ac:dyDescent="0.2">
      <c r="B13" s="251"/>
      <c r="C13" s="408" t="s">
        <v>315</v>
      </c>
      <c r="D13" s="408"/>
      <c r="E13" s="408"/>
      <c r="F13" s="408"/>
      <c r="G13" s="408"/>
      <c r="H13" s="408"/>
      <c r="I13" s="408"/>
      <c r="J13" s="252"/>
    </row>
    <row r="14" spans="2:10" ht="16" x14ac:dyDescent="0.2">
      <c r="B14" s="251"/>
      <c r="C14" s="243"/>
      <c r="D14" s="242"/>
      <c r="E14" s="242"/>
      <c r="F14" s="242"/>
      <c r="G14" s="242"/>
      <c r="H14" s="242"/>
      <c r="I14" s="242"/>
      <c r="J14" s="252"/>
    </row>
    <row r="15" spans="2:10" ht="16" x14ac:dyDescent="0.2">
      <c r="B15" s="251"/>
      <c r="C15" s="245"/>
      <c r="D15" s="244" t="s">
        <v>369</v>
      </c>
      <c r="E15" s="245"/>
      <c r="F15" s="244" t="s">
        <v>325</v>
      </c>
      <c r="G15" s="244"/>
      <c r="H15" s="244" t="s">
        <v>330</v>
      </c>
      <c r="I15" s="245"/>
      <c r="J15" s="252"/>
    </row>
    <row r="16" spans="2:10" ht="16" x14ac:dyDescent="0.2">
      <c r="B16" s="251"/>
      <c r="C16" s="242"/>
      <c r="D16" s="243" t="s">
        <v>370</v>
      </c>
      <c r="E16" s="242"/>
      <c r="F16" s="243" t="s">
        <v>328</v>
      </c>
      <c r="G16" s="243"/>
      <c r="H16" s="243" t="s">
        <v>331</v>
      </c>
      <c r="I16" s="242"/>
      <c r="J16" s="252"/>
    </row>
    <row r="17" spans="2:10" ht="16" x14ac:dyDescent="0.2">
      <c r="B17" s="251"/>
      <c r="C17" s="245"/>
      <c r="D17" s="244"/>
      <c r="E17" s="245"/>
      <c r="F17" s="244" t="s">
        <v>329</v>
      </c>
      <c r="G17" s="244"/>
      <c r="H17" s="244"/>
      <c r="I17" s="245"/>
      <c r="J17" s="252"/>
    </row>
    <row r="18" spans="2:10" ht="16" x14ac:dyDescent="0.2">
      <c r="B18" s="251"/>
      <c r="C18" s="243" t="s">
        <v>240</v>
      </c>
      <c r="D18" s="243"/>
      <c r="E18" s="243"/>
      <c r="F18" s="243"/>
      <c r="G18" s="243"/>
      <c r="H18" s="243"/>
      <c r="I18" s="243"/>
      <c r="J18" s="252"/>
    </row>
    <row r="19" spans="2:10" ht="16" x14ac:dyDescent="0.2">
      <c r="B19" s="251"/>
      <c r="C19" s="244"/>
      <c r="D19" s="244">
        <v>54</v>
      </c>
      <c r="E19" s="244"/>
      <c r="F19" s="244">
        <v>99</v>
      </c>
      <c r="G19" s="244"/>
      <c r="H19" s="244">
        <v>150</v>
      </c>
      <c r="I19" s="244"/>
      <c r="J19" s="252"/>
    </row>
    <row r="20" spans="2:10" ht="16" x14ac:dyDescent="0.2">
      <c r="B20" s="251"/>
      <c r="C20" s="243" t="s">
        <v>241</v>
      </c>
      <c r="D20" s="243"/>
      <c r="E20" s="243"/>
      <c r="F20" s="243"/>
      <c r="G20" s="243"/>
      <c r="H20" s="243"/>
      <c r="I20" s="243"/>
      <c r="J20" s="252"/>
    </row>
    <row r="21" spans="2:10" ht="16" x14ac:dyDescent="0.2">
      <c r="B21" s="251"/>
      <c r="C21" s="244" t="s">
        <v>302</v>
      </c>
      <c r="D21" s="244">
        <v>45</v>
      </c>
      <c r="E21" s="244"/>
      <c r="F21" s="244">
        <v>84</v>
      </c>
      <c r="G21" s="244"/>
      <c r="H21" s="244">
        <v>130</v>
      </c>
      <c r="I21" s="244"/>
      <c r="J21" s="252"/>
    </row>
    <row r="22" spans="2:10" ht="16" x14ac:dyDescent="0.2">
      <c r="B22" s="251"/>
      <c r="C22" s="243" t="s">
        <v>303</v>
      </c>
      <c r="D22" s="243">
        <v>31</v>
      </c>
      <c r="E22" s="243"/>
      <c r="F22" s="243">
        <v>72</v>
      </c>
      <c r="G22" s="243"/>
      <c r="H22" s="243">
        <v>81</v>
      </c>
      <c r="I22" s="243"/>
      <c r="J22" s="252"/>
    </row>
    <row r="23" spans="2:10" ht="16" x14ac:dyDescent="0.2">
      <c r="B23" s="251"/>
      <c r="C23" s="244" t="s">
        <v>304</v>
      </c>
      <c r="D23" s="244">
        <v>18</v>
      </c>
      <c r="E23" s="244"/>
      <c r="F23" s="244">
        <v>59</v>
      </c>
      <c r="G23" s="244"/>
      <c r="H23" s="244"/>
      <c r="I23" s="244"/>
      <c r="J23" s="252"/>
    </row>
    <row r="24" spans="2:10" ht="16" x14ac:dyDescent="0.2">
      <c r="B24" s="251"/>
      <c r="C24" s="243"/>
      <c r="D24" s="243"/>
      <c r="E24" s="243"/>
      <c r="F24" s="243"/>
      <c r="G24" s="243"/>
      <c r="H24" s="243"/>
      <c r="I24" s="243"/>
      <c r="J24" s="252"/>
    </row>
    <row r="25" spans="2:10" ht="16" x14ac:dyDescent="0.2">
      <c r="B25" s="251"/>
      <c r="C25" s="244" t="s">
        <v>552</v>
      </c>
      <c r="D25" s="244"/>
      <c r="E25" s="244"/>
      <c r="F25" s="244"/>
      <c r="G25" s="208"/>
      <c r="H25" s="244"/>
      <c r="I25" s="208"/>
      <c r="J25" s="252"/>
    </row>
    <row r="26" spans="2:10" ht="16" x14ac:dyDescent="0.2">
      <c r="B26" s="251"/>
      <c r="C26" s="243" t="s">
        <v>302</v>
      </c>
      <c r="D26" s="243">
        <v>31</v>
      </c>
      <c r="E26" s="243"/>
      <c r="F26" s="243">
        <v>62</v>
      </c>
      <c r="G26" s="243"/>
      <c r="H26" s="243">
        <v>100</v>
      </c>
      <c r="I26" s="243"/>
      <c r="J26" s="252"/>
    </row>
    <row r="27" spans="2:10" ht="16" x14ac:dyDescent="0.2">
      <c r="B27" s="251"/>
      <c r="C27" s="244" t="s">
        <v>303</v>
      </c>
      <c r="D27" s="244">
        <v>22</v>
      </c>
      <c r="E27" s="244"/>
      <c r="F27" s="244">
        <v>53</v>
      </c>
      <c r="G27" s="244"/>
      <c r="H27" s="244">
        <v>59</v>
      </c>
      <c r="I27" s="244"/>
      <c r="J27" s="252"/>
    </row>
    <row r="28" spans="2:10" ht="16" x14ac:dyDescent="0.2">
      <c r="B28" s="251"/>
      <c r="C28" s="243" t="s">
        <v>304</v>
      </c>
      <c r="D28" s="243">
        <v>17</v>
      </c>
      <c r="E28" s="243"/>
      <c r="F28" s="243">
        <v>47</v>
      </c>
      <c r="G28" s="243"/>
      <c r="H28" s="243"/>
      <c r="I28" s="243"/>
      <c r="J28" s="252"/>
    </row>
    <row r="29" spans="2:10" ht="16" x14ac:dyDescent="0.2">
      <c r="B29" s="251"/>
      <c r="C29" s="244"/>
      <c r="D29" s="244"/>
      <c r="E29" s="244"/>
      <c r="F29" s="244"/>
      <c r="G29" s="244"/>
      <c r="H29" s="244"/>
      <c r="I29" s="244"/>
      <c r="J29" s="252"/>
    </row>
    <row r="30" spans="2:10" ht="16" x14ac:dyDescent="0.2">
      <c r="B30" s="251"/>
      <c r="C30" s="243" t="s">
        <v>553</v>
      </c>
      <c r="D30" s="243"/>
      <c r="E30" s="243"/>
      <c r="F30" s="243"/>
      <c r="G30" s="243"/>
      <c r="H30" s="243"/>
      <c r="I30" s="243"/>
      <c r="J30" s="252"/>
    </row>
    <row r="31" spans="2:10" ht="16" x14ac:dyDescent="0.2">
      <c r="B31" s="251"/>
      <c r="C31" s="244" t="s">
        <v>302</v>
      </c>
      <c r="D31" s="244">
        <v>39</v>
      </c>
      <c r="E31" s="244"/>
      <c r="F31" s="244">
        <v>77</v>
      </c>
      <c r="G31" s="244"/>
      <c r="H31" s="244"/>
      <c r="I31" s="244"/>
      <c r="J31" s="252"/>
    </row>
    <row r="32" spans="2:10" ht="16" x14ac:dyDescent="0.2">
      <c r="B32" s="251"/>
      <c r="C32" s="243" t="s">
        <v>303</v>
      </c>
      <c r="D32" s="243">
        <v>27</v>
      </c>
      <c r="E32" s="243"/>
      <c r="F32" s="243">
        <v>66</v>
      </c>
      <c r="G32" s="243"/>
      <c r="H32" s="243"/>
      <c r="I32" s="243"/>
      <c r="J32" s="252"/>
    </row>
    <row r="33" spans="2:10" ht="16" x14ac:dyDescent="0.2">
      <c r="B33" s="251"/>
      <c r="C33" s="244" t="s">
        <v>304</v>
      </c>
      <c r="D33" s="244">
        <v>21</v>
      </c>
      <c r="E33" s="244"/>
      <c r="F33" s="244">
        <v>59</v>
      </c>
      <c r="G33" s="244"/>
      <c r="H33" s="244"/>
      <c r="I33" s="244"/>
      <c r="J33" s="252"/>
    </row>
    <row r="34" spans="2:10" ht="16" x14ac:dyDescent="0.2">
      <c r="B34" s="251"/>
      <c r="C34" s="243"/>
      <c r="D34" s="243"/>
      <c r="E34" s="243"/>
      <c r="F34" s="243"/>
      <c r="G34" s="243"/>
      <c r="H34" s="243"/>
      <c r="I34" s="243"/>
      <c r="J34" s="252"/>
    </row>
    <row r="35" spans="2:10" ht="16" x14ac:dyDescent="0.2">
      <c r="B35" s="251"/>
      <c r="C35" s="244"/>
      <c r="D35" s="244"/>
      <c r="E35" s="244"/>
      <c r="F35" s="244"/>
      <c r="G35" s="244"/>
      <c r="H35" s="244"/>
      <c r="I35" s="244"/>
      <c r="J35" s="252"/>
    </row>
    <row r="36" spans="2:10" ht="16" x14ac:dyDescent="0.2">
      <c r="B36" s="251"/>
      <c r="C36" s="243" t="s">
        <v>334</v>
      </c>
      <c r="D36" s="243"/>
      <c r="E36" s="243">
        <v>60</v>
      </c>
      <c r="F36" s="243" t="s">
        <v>318</v>
      </c>
      <c r="G36" s="243"/>
      <c r="H36" s="243"/>
      <c r="I36" s="243"/>
      <c r="J36" s="252"/>
    </row>
    <row r="37" spans="2:10" ht="16" x14ac:dyDescent="0.2">
      <c r="B37" s="251"/>
      <c r="C37" s="244"/>
      <c r="D37" s="244"/>
      <c r="E37" s="244"/>
      <c r="F37" s="244"/>
      <c r="G37" s="244"/>
      <c r="H37" s="244"/>
      <c r="I37" s="244"/>
      <c r="J37" s="252"/>
    </row>
    <row r="38" spans="2:10" ht="16" x14ac:dyDescent="0.2">
      <c r="B38" s="251"/>
      <c r="C38" s="243" t="s">
        <v>335</v>
      </c>
      <c r="D38" s="243"/>
      <c r="E38" s="243">
        <v>10</v>
      </c>
      <c r="F38" s="243" t="s">
        <v>318</v>
      </c>
      <c r="G38" s="243"/>
      <c r="H38" s="243"/>
      <c r="I38" s="243"/>
      <c r="J38" s="252"/>
    </row>
    <row r="39" spans="2:10" ht="27.75" customHeight="1" thickBot="1" x14ac:dyDescent="0.25">
      <c r="B39" s="253"/>
      <c r="C39" s="246"/>
      <c r="D39" s="246"/>
      <c r="E39" s="246"/>
      <c r="F39" s="246"/>
      <c r="G39" s="246"/>
      <c r="H39" s="246"/>
      <c r="I39" s="246"/>
      <c r="J39" s="255"/>
    </row>
    <row r="40" spans="2:10" ht="14" thickBot="1" x14ac:dyDescent="0.2">
      <c r="C40" s="186"/>
      <c r="D40" s="186"/>
      <c r="E40" s="186"/>
      <c r="F40" s="186"/>
      <c r="G40" s="186"/>
      <c r="H40" s="248"/>
      <c r="I40" s="248"/>
    </row>
    <row r="41" spans="2:10" ht="23" x14ac:dyDescent="0.25">
      <c r="B41" s="249"/>
      <c r="C41" s="407" t="s">
        <v>532</v>
      </c>
      <c r="D41" s="407"/>
      <c r="E41" s="407"/>
      <c r="F41" s="407"/>
      <c r="G41" s="407"/>
      <c r="H41" s="407"/>
      <c r="I41" s="407"/>
      <c r="J41" s="250"/>
    </row>
    <row r="42" spans="2:10" ht="20" customHeight="1" x14ac:dyDescent="0.2">
      <c r="B42" s="251"/>
      <c r="C42" s="244" t="s">
        <v>309</v>
      </c>
      <c r="D42" s="244"/>
      <c r="E42" s="244"/>
      <c r="F42" s="244"/>
      <c r="G42" s="244"/>
      <c r="H42" s="244"/>
      <c r="I42" s="244">
        <f>H3</f>
        <v>1000000</v>
      </c>
      <c r="J42" s="252"/>
    </row>
    <row r="43" spans="2:10" ht="20" customHeight="1" x14ac:dyDescent="0.2">
      <c r="B43" s="251"/>
      <c r="C43" s="243" t="s">
        <v>333</v>
      </c>
      <c r="D43" s="243"/>
      <c r="E43" s="243">
        <f>IF(H4&gt;=5,5,H4)</f>
        <v>5</v>
      </c>
      <c r="F43" s="243">
        <f>IF(H4&gt;=20,D21,IF(AND(H4&gt;=15,H4&lt;=19),D22,IF(H4&lt;=14,D23)))</f>
        <v>45</v>
      </c>
      <c r="G43" s="243">
        <f>H3/1000</f>
        <v>1000</v>
      </c>
      <c r="H43" s="243"/>
      <c r="I43" s="243">
        <f>E43*F43*G43</f>
        <v>225000</v>
      </c>
      <c r="J43" s="252"/>
    </row>
    <row r="44" spans="2:10" ht="20" customHeight="1" x14ac:dyDescent="0.2">
      <c r="B44" s="251"/>
      <c r="C44" s="244" t="s">
        <v>333</v>
      </c>
      <c r="D44" s="244"/>
      <c r="E44" s="244">
        <f>IF(H4&gt;=16,11,H4-5)</f>
        <v>11</v>
      </c>
      <c r="F44" s="244">
        <f>IF(H4&gt;=20,F21,IF(AND(H4&gt;=15,H4&lt;=19),F22,IF(H4&lt;=14,F23)))</f>
        <v>84</v>
      </c>
      <c r="G44" s="244">
        <f>H3/1000</f>
        <v>1000</v>
      </c>
      <c r="H44" s="244"/>
      <c r="I44" s="244">
        <f>E44*F44*G44</f>
        <v>924000</v>
      </c>
      <c r="J44" s="252"/>
    </row>
    <row r="45" spans="2:10" ht="20" customHeight="1" x14ac:dyDescent="0.2">
      <c r="B45" s="251"/>
      <c r="C45" s="243" t="s">
        <v>333</v>
      </c>
      <c r="D45" s="243"/>
      <c r="E45" s="243">
        <f>IF(H4&gt;16,H4-16,0)</f>
        <v>4</v>
      </c>
      <c r="F45" s="243">
        <f>IF(H4&gt;=20,H21,IF(AND(H4&gt;=15,H4&lt;=19),H22,IF(H4&lt;=14,H23)))</f>
        <v>130</v>
      </c>
      <c r="G45" s="243">
        <f>H3/1000</f>
        <v>1000</v>
      </c>
      <c r="H45" s="243"/>
      <c r="I45" s="243">
        <f>E45*F45*G45</f>
        <v>520000</v>
      </c>
      <c r="J45" s="252"/>
    </row>
    <row r="46" spans="2:10" ht="20" customHeight="1" x14ac:dyDescent="0.2">
      <c r="B46" s="251"/>
      <c r="C46" s="244" t="s">
        <v>334</v>
      </c>
      <c r="D46" s="244"/>
      <c r="E46" s="244">
        <f>G113</f>
        <v>10</v>
      </c>
      <c r="F46" s="244">
        <f>E36</f>
        <v>60</v>
      </c>
      <c r="G46" s="244">
        <f>H3/1000</f>
        <v>1000</v>
      </c>
      <c r="H46" s="244"/>
      <c r="I46" s="244">
        <f>E46*F46*G46</f>
        <v>600000</v>
      </c>
      <c r="J46" s="252"/>
    </row>
    <row r="47" spans="2:10" ht="20" customHeight="1" x14ac:dyDescent="0.2">
      <c r="B47" s="251"/>
      <c r="C47" s="243" t="s">
        <v>335</v>
      </c>
      <c r="D47" s="243"/>
      <c r="E47" s="243">
        <f>G113</f>
        <v>10</v>
      </c>
      <c r="F47" s="243">
        <f>IF(H6="y",10,0)</f>
        <v>0</v>
      </c>
      <c r="G47" s="243">
        <f>H3/1000</f>
        <v>1000</v>
      </c>
      <c r="H47" s="243"/>
      <c r="I47" s="243">
        <f>E47*F47*G47</f>
        <v>0</v>
      </c>
      <c r="J47" s="252"/>
    </row>
    <row r="48" spans="2:10" ht="26.25" customHeight="1" thickBot="1" x14ac:dyDescent="0.3">
      <c r="B48" s="253"/>
      <c r="C48" s="247"/>
      <c r="D48" s="247"/>
      <c r="E48" s="247"/>
      <c r="F48" s="247"/>
      <c r="G48" s="247"/>
      <c r="H48" s="247"/>
      <c r="I48" s="254">
        <f>SUM(I42:I47)</f>
        <v>3269000</v>
      </c>
      <c r="J48" s="255"/>
    </row>
    <row r="49" spans="2:10" ht="14" thickBot="1" x14ac:dyDescent="0.2">
      <c r="C49" s="186"/>
      <c r="D49" s="186"/>
      <c r="E49" s="186"/>
      <c r="F49" s="186"/>
      <c r="G49" s="186"/>
      <c r="H49" s="186"/>
      <c r="I49" s="186"/>
    </row>
    <row r="50" spans="2:10" ht="23" x14ac:dyDescent="0.25">
      <c r="B50" s="249"/>
      <c r="C50" s="407" t="s">
        <v>555</v>
      </c>
      <c r="D50" s="407"/>
      <c r="E50" s="407"/>
      <c r="F50" s="407"/>
      <c r="G50" s="407"/>
      <c r="H50" s="407"/>
      <c r="I50" s="407"/>
      <c r="J50" s="250"/>
    </row>
    <row r="51" spans="2:10" ht="20" customHeight="1" x14ac:dyDescent="0.2">
      <c r="B51" s="251"/>
      <c r="C51" s="244" t="s">
        <v>309</v>
      </c>
      <c r="D51" s="244"/>
      <c r="E51" s="244"/>
      <c r="F51" s="244"/>
      <c r="G51" s="244"/>
      <c r="H51" s="244"/>
      <c r="I51" s="244">
        <f>H3</f>
        <v>1000000</v>
      </c>
      <c r="J51" s="252"/>
    </row>
    <row r="52" spans="2:10" ht="20" customHeight="1" x14ac:dyDescent="0.2">
      <c r="B52" s="251"/>
      <c r="C52" s="243" t="s">
        <v>333</v>
      </c>
      <c r="D52" s="243"/>
      <c r="E52" s="243">
        <f>IF(H4&gt;=5,5,H4)</f>
        <v>5</v>
      </c>
      <c r="F52" s="243">
        <f>IF(H4&gt;=20,D26,IF(AND(H4&gt;=15,H4&lt;=19),D27,IF(H4&lt;=14,D28)))</f>
        <v>31</v>
      </c>
      <c r="G52" s="243">
        <f>H3/1000</f>
        <v>1000</v>
      </c>
      <c r="H52" s="243"/>
      <c r="I52" s="243">
        <f>E52*F52*G52</f>
        <v>155000</v>
      </c>
      <c r="J52" s="252"/>
    </row>
    <row r="53" spans="2:10" ht="20" customHeight="1" x14ac:dyDescent="0.2">
      <c r="B53" s="251"/>
      <c r="C53" s="244" t="s">
        <v>333</v>
      </c>
      <c r="D53" s="244"/>
      <c r="E53" s="244">
        <f>IF(H4&gt;=16,11,H4-5)</f>
        <v>11</v>
      </c>
      <c r="F53" s="244">
        <f>IF(H4&gt;=20,F26,IF(AND(H4&gt;=15,H4&lt;=19),F27,IF(H4&lt;=14,F28)))</f>
        <v>62</v>
      </c>
      <c r="G53" s="244">
        <f>H3/1000</f>
        <v>1000</v>
      </c>
      <c r="H53" s="244"/>
      <c r="I53" s="244">
        <f>E53*F53*G53</f>
        <v>682000</v>
      </c>
      <c r="J53" s="252"/>
    </row>
    <row r="54" spans="2:10" ht="20" customHeight="1" x14ac:dyDescent="0.2">
      <c r="B54" s="251"/>
      <c r="C54" s="243" t="s">
        <v>333</v>
      </c>
      <c r="D54" s="243"/>
      <c r="E54" s="243">
        <f>IF(H4&gt;16,H4-16,0)</f>
        <v>4</v>
      </c>
      <c r="F54" s="243">
        <f>IF(H4&gt;=20,H26,IF(AND(H4&gt;=15,H4&lt;=19),H27,IF(H4&lt;=14,H28)))</f>
        <v>100</v>
      </c>
      <c r="G54" s="243">
        <f>H3/1000</f>
        <v>1000</v>
      </c>
      <c r="H54" s="243"/>
      <c r="I54" s="243">
        <f>E54*F54*G54</f>
        <v>400000</v>
      </c>
      <c r="J54" s="252"/>
    </row>
    <row r="55" spans="2:10" ht="20" customHeight="1" x14ac:dyDescent="0.2">
      <c r="B55" s="251"/>
      <c r="C55" s="244" t="s">
        <v>335</v>
      </c>
      <c r="D55" s="244"/>
      <c r="E55" s="244">
        <f>G113</f>
        <v>10</v>
      </c>
      <c r="F55" s="244">
        <f>IF(H6="y",10,0)</f>
        <v>0</v>
      </c>
      <c r="G55" s="244">
        <f>H3/1000</f>
        <v>1000</v>
      </c>
      <c r="H55" s="244"/>
      <c r="I55" s="244">
        <f>E55*F55*G55</f>
        <v>0</v>
      </c>
      <c r="J55" s="252"/>
    </row>
    <row r="56" spans="2:10" ht="31.5" customHeight="1" thickBot="1" x14ac:dyDescent="0.3">
      <c r="B56" s="253"/>
      <c r="C56" s="247"/>
      <c r="D56" s="247"/>
      <c r="E56" s="247"/>
      <c r="F56" s="247"/>
      <c r="G56" s="247"/>
      <c r="H56" s="247"/>
      <c r="I56" s="254">
        <f>SUM(I51:I55)</f>
        <v>2237000</v>
      </c>
      <c r="J56" s="255"/>
    </row>
    <row r="57" spans="2:10" ht="14" thickBot="1" x14ac:dyDescent="0.2">
      <c r="C57" s="186"/>
      <c r="D57" s="186"/>
      <c r="E57" s="186"/>
      <c r="F57" s="186"/>
      <c r="G57" s="186"/>
      <c r="H57" s="186"/>
      <c r="I57" s="186"/>
    </row>
    <row r="58" spans="2:10" ht="23" x14ac:dyDescent="0.25">
      <c r="B58" s="249"/>
      <c r="C58" s="407" t="s">
        <v>531</v>
      </c>
      <c r="D58" s="407"/>
      <c r="E58" s="407"/>
      <c r="F58" s="407"/>
      <c r="G58" s="407"/>
      <c r="H58" s="407"/>
      <c r="I58" s="407"/>
      <c r="J58" s="250"/>
    </row>
    <row r="59" spans="2:10" ht="20" customHeight="1" x14ac:dyDescent="0.2">
      <c r="B59" s="251"/>
      <c r="C59" s="244" t="s">
        <v>309</v>
      </c>
      <c r="D59" s="244"/>
      <c r="E59" s="244"/>
      <c r="F59" s="244"/>
      <c r="G59" s="244"/>
      <c r="H59" s="244"/>
      <c r="I59" s="244">
        <f>H3</f>
        <v>1000000</v>
      </c>
      <c r="J59" s="252"/>
    </row>
    <row r="60" spans="2:10" ht="20" customHeight="1" x14ac:dyDescent="0.2">
      <c r="B60" s="251"/>
      <c r="C60" s="243" t="s">
        <v>333</v>
      </c>
      <c r="D60" s="243"/>
      <c r="E60" s="243">
        <f>IF(E112&gt;=5,5,E112)</f>
        <v>5</v>
      </c>
      <c r="F60" s="243">
        <f>D19</f>
        <v>54</v>
      </c>
      <c r="G60" s="243">
        <f>H3/1000</f>
        <v>1000</v>
      </c>
      <c r="H60" s="243"/>
      <c r="I60" s="243">
        <f>E60*F60*G60</f>
        <v>270000</v>
      </c>
      <c r="J60" s="252"/>
    </row>
    <row r="61" spans="2:10" ht="20" customHeight="1" x14ac:dyDescent="0.2">
      <c r="B61" s="251"/>
      <c r="C61" s="244" t="s">
        <v>333</v>
      </c>
      <c r="D61" s="244"/>
      <c r="E61" s="244">
        <f>IF(E112&gt;=16,11,E112-5)</f>
        <v>11</v>
      </c>
      <c r="F61" s="244">
        <f>F19</f>
        <v>99</v>
      </c>
      <c r="G61" s="244">
        <f>H3/1000</f>
        <v>1000</v>
      </c>
      <c r="H61" s="244"/>
      <c r="I61" s="244">
        <f>E61*F61*G61</f>
        <v>1089000</v>
      </c>
      <c r="J61" s="252"/>
    </row>
    <row r="62" spans="2:10" ht="20" customHeight="1" x14ac:dyDescent="0.2">
      <c r="B62" s="251"/>
      <c r="C62" s="243" t="s">
        <v>333</v>
      </c>
      <c r="D62" s="243"/>
      <c r="E62" s="243">
        <f>IF(E112&gt;16,E112-16)</f>
        <v>45</v>
      </c>
      <c r="F62" s="243">
        <f>H19</f>
        <v>150</v>
      </c>
      <c r="G62" s="243">
        <f>H3/1000</f>
        <v>1000</v>
      </c>
      <c r="H62" s="243"/>
      <c r="I62" s="243">
        <f>E62*F62*G62</f>
        <v>6750000</v>
      </c>
      <c r="J62" s="252"/>
    </row>
    <row r="63" spans="2:10" ht="20" customHeight="1" x14ac:dyDescent="0.2">
      <c r="B63" s="251"/>
      <c r="C63" s="244" t="s">
        <v>334</v>
      </c>
      <c r="D63" s="244"/>
      <c r="E63" s="244">
        <f>G112</f>
        <v>20</v>
      </c>
      <c r="F63" s="244">
        <f>E36</f>
        <v>60</v>
      </c>
      <c r="G63" s="244">
        <f>H3/1000</f>
        <v>1000</v>
      </c>
      <c r="H63" s="244"/>
      <c r="I63" s="244">
        <f>E63*F63*G63</f>
        <v>1200000</v>
      </c>
      <c r="J63" s="252"/>
    </row>
    <row r="64" spans="2:10" ht="20" customHeight="1" x14ac:dyDescent="0.2">
      <c r="B64" s="251"/>
      <c r="C64" s="243" t="s">
        <v>335</v>
      </c>
      <c r="D64" s="243"/>
      <c r="E64" s="243">
        <f>G112</f>
        <v>20</v>
      </c>
      <c r="F64" s="243">
        <f>IF(H6="y",10,0)</f>
        <v>0</v>
      </c>
      <c r="G64" s="243">
        <f>H3/1000</f>
        <v>1000</v>
      </c>
      <c r="H64" s="243"/>
      <c r="I64" s="243">
        <f>E64*F64*G64</f>
        <v>0</v>
      </c>
      <c r="J64" s="252"/>
    </row>
    <row r="65" spans="2:10" ht="28.5" customHeight="1" thickBot="1" x14ac:dyDescent="0.3">
      <c r="B65" s="253"/>
      <c r="C65" s="247"/>
      <c r="D65" s="247"/>
      <c r="E65" s="247"/>
      <c r="F65" s="247"/>
      <c r="G65" s="247"/>
      <c r="H65" s="247"/>
      <c r="I65" s="254">
        <f>SUM(I59:I64)</f>
        <v>10309000</v>
      </c>
      <c r="J65" s="255"/>
    </row>
    <row r="66" spans="2:10" x14ac:dyDescent="0.15">
      <c r="C66" s="35"/>
      <c r="D66" s="35"/>
      <c r="E66" s="35"/>
      <c r="F66" s="35"/>
      <c r="G66" s="35"/>
    </row>
    <row r="67" spans="2:10" x14ac:dyDescent="0.15">
      <c r="C67" s="35"/>
      <c r="D67" s="35"/>
      <c r="E67" s="35"/>
      <c r="F67" s="35"/>
      <c r="G67" s="35"/>
    </row>
    <row r="68" spans="2:10" x14ac:dyDescent="0.15">
      <c r="C68" s="35"/>
      <c r="D68" s="35"/>
      <c r="E68" s="35"/>
      <c r="F68" s="35"/>
      <c r="G68" s="35"/>
    </row>
    <row r="69" spans="2:10" ht="14" thickBot="1" x14ac:dyDescent="0.2">
      <c r="C69" s="35"/>
      <c r="D69" s="35"/>
      <c r="E69" s="35"/>
      <c r="F69" s="35"/>
      <c r="G69" s="35"/>
    </row>
    <row r="70" spans="2:10" ht="23.25" customHeight="1" x14ac:dyDescent="0.25">
      <c r="B70" s="346"/>
      <c r="C70" s="407" t="s">
        <v>551</v>
      </c>
      <c r="D70" s="407"/>
      <c r="E70" s="407"/>
      <c r="F70" s="407"/>
      <c r="G70" s="407"/>
      <c r="H70" s="407"/>
      <c r="I70" s="407"/>
      <c r="J70" s="347"/>
    </row>
    <row r="71" spans="2:10" ht="20" customHeight="1" x14ac:dyDescent="0.2">
      <c r="B71" s="351"/>
      <c r="C71" s="244" t="s">
        <v>309</v>
      </c>
      <c r="D71" s="353"/>
      <c r="E71" s="353"/>
      <c r="F71" s="353"/>
      <c r="G71" s="353"/>
      <c r="H71" s="354"/>
      <c r="I71" s="244">
        <f>H3</f>
        <v>1000000</v>
      </c>
      <c r="J71" s="352"/>
    </row>
    <row r="72" spans="2:10" ht="20" customHeight="1" x14ac:dyDescent="0.2">
      <c r="B72" s="351"/>
      <c r="C72" s="243" t="s">
        <v>333</v>
      </c>
      <c r="D72" s="355"/>
      <c r="E72" s="243">
        <f>IF(H4&gt;=5,5,H4)</f>
        <v>5</v>
      </c>
      <c r="F72" s="243">
        <f>IF(H4&gt;=20,D31,IF(AND(H4&gt;=15,H4&lt;=19),D32,IF(H4&lt;=14,D33)))</f>
        <v>39</v>
      </c>
      <c r="G72" s="243">
        <f>H3/1000</f>
        <v>1000</v>
      </c>
      <c r="H72" s="356"/>
      <c r="I72" s="243">
        <f>E72*F72*G72</f>
        <v>195000</v>
      </c>
      <c r="J72" s="352"/>
    </row>
    <row r="73" spans="2:10" ht="20" customHeight="1" x14ac:dyDescent="0.2">
      <c r="B73" s="351"/>
      <c r="C73" s="244" t="s">
        <v>333</v>
      </c>
      <c r="D73" s="353"/>
      <c r="E73" s="244">
        <f>IF(H4&gt;=16,11,H4-5)</f>
        <v>11</v>
      </c>
      <c r="F73" s="244">
        <f>IF(H4&gt;=20,F31,IF(AND(H4&gt;=15,H4&lt;=19),F32,IF(H4&lt;=14,F33)))</f>
        <v>77</v>
      </c>
      <c r="G73" s="244">
        <f>H3/1000</f>
        <v>1000</v>
      </c>
      <c r="H73" s="354"/>
      <c r="I73" s="244">
        <f>E73*F73*G73</f>
        <v>847000</v>
      </c>
      <c r="J73" s="352"/>
    </row>
    <row r="74" spans="2:10" ht="20" customHeight="1" x14ac:dyDescent="0.2">
      <c r="B74" s="351"/>
      <c r="C74" s="243" t="s">
        <v>333</v>
      </c>
      <c r="D74" s="356"/>
      <c r="E74" s="243">
        <f>IF(H4&gt;16,H4-16,0)</f>
        <v>4</v>
      </c>
      <c r="F74" s="296" t="s">
        <v>554</v>
      </c>
      <c r="G74" s="243"/>
      <c r="H74" s="356"/>
      <c r="I74" s="243">
        <f>I54*25/100+I54</f>
        <v>500000</v>
      </c>
      <c r="J74" s="352"/>
    </row>
    <row r="75" spans="2:10" ht="20" customHeight="1" x14ac:dyDescent="0.2">
      <c r="B75" s="351"/>
      <c r="C75" s="244" t="s">
        <v>335</v>
      </c>
      <c r="D75" s="354"/>
      <c r="E75" s="244">
        <f>H4-10</f>
        <v>10</v>
      </c>
      <c r="F75" s="244">
        <f>IF(H6="y",10,0)</f>
        <v>0</v>
      </c>
      <c r="G75" s="244">
        <f>H3/1000</f>
        <v>1000</v>
      </c>
      <c r="H75" s="354"/>
      <c r="I75" s="244">
        <f>E75*F75*G75</f>
        <v>0</v>
      </c>
      <c r="J75" s="352"/>
    </row>
    <row r="76" spans="2:10" ht="27.75" customHeight="1" thickBot="1" x14ac:dyDescent="0.3">
      <c r="B76" s="348"/>
      <c r="C76" s="349"/>
      <c r="D76" s="349"/>
      <c r="E76" s="349"/>
      <c r="F76" s="349"/>
      <c r="G76" s="349"/>
      <c r="H76" s="349"/>
      <c r="I76" s="254">
        <f>SUM(I71:I75)</f>
        <v>2542000</v>
      </c>
      <c r="J76" s="350"/>
    </row>
    <row r="111" spans="4:7" hidden="1" x14ac:dyDescent="0.15">
      <c r="D111" s="33" t="s">
        <v>314</v>
      </c>
      <c r="E111" s="33" t="s">
        <v>272</v>
      </c>
    </row>
    <row r="112" spans="4:7" hidden="1" x14ac:dyDescent="0.15">
      <c r="D112" s="33">
        <v>85</v>
      </c>
      <c r="E112" s="33">
        <f>D112-H7</f>
        <v>61</v>
      </c>
      <c r="F112" s="33">
        <f>E112-10</f>
        <v>51</v>
      </c>
      <c r="G112" s="33">
        <f>IF(F112&gt;=20,20,F112)</f>
        <v>20</v>
      </c>
    </row>
    <row r="113" spans="6:7" hidden="1" x14ac:dyDescent="0.15">
      <c r="F113" s="33">
        <f>H4-10</f>
        <v>10</v>
      </c>
      <c r="G113" s="33">
        <f>IF(F113&gt;=20,20,F113)</f>
        <v>10</v>
      </c>
    </row>
  </sheetData>
  <sheetProtection password="D04A" sheet="1" objects="1" scenarios="1"/>
  <mergeCells count="13">
    <mergeCell ref="C70:I70"/>
    <mergeCell ref="C58:I58"/>
    <mergeCell ref="C2:I2"/>
    <mergeCell ref="C11:I11"/>
    <mergeCell ref="C13:I13"/>
    <mergeCell ref="C41:I41"/>
    <mergeCell ref="C50:I50"/>
    <mergeCell ref="H7:I7"/>
    <mergeCell ref="H8:I8"/>
    <mergeCell ref="H3:I3"/>
    <mergeCell ref="H4:I4"/>
    <mergeCell ref="H5:I5"/>
    <mergeCell ref="H6:I6"/>
  </mergeCells>
  <phoneticPr fontId="0" type="noConversion"/>
  <pageMargins left="0.75" right="0.75" top="1" bottom="1" header="0.5" footer="0.5"/>
  <pageSetup orientation="landscape" blackAndWhite="1" horizontalDpi="180" verticalDpi="18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08"/>
  <sheetViews>
    <sheetView workbookViewId="0">
      <selection activeCell="K14" sqref="K14"/>
    </sheetView>
  </sheetViews>
  <sheetFormatPr baseColWidth="10" defaultColWidth="8.83203125" defaultRowHeight="13" x14ac:dyDescent="0.15"/>
  <cols>
    <col min="1" max="1" width="8.83203125" style="33"/>
    <col min="2" max="2" width="12.33203125" style="33" customWidth="1"/>
    <col min="3" max="3" width="13.1640625" style="33" customWidth="1"/>
    <col min="4" max="5" width="15" style="33" customWidth="1"/>
    <col min="6" max="16384" width="8.83203125" style="33"/>
  </cols>
  <sheetData>
    <row r="1" spans="2:8" ht="14" thickBot="1" x14ac:dyDescent="0.2"/>
    <row r="2" spans="2:8" x14ac:dyDescent="0.15">
      <c r="B2" s="70"/>
      <c r="C2" s="71"/>
      <c r="D2" s="72"/>
    </row>
    <row r="3" spans="2:8" x14ac:dyDescent="0.15">
      <c r="B3" s="73" t="s">
        <v>309</v>
      </c>
      <c r="C3" s="74"/>
      <c r="D3" s="108">
        <f>APCS!G4</f>
        <v>1000000</v>
      </c>
    </row>
    <row r="4" spans="2:8" x14ac:dyDescent="0.15">
      <c r="B4" s="75" t="s">
        <v>272</v>
      </c>
      <c r="C4" s="76"/>
      <c r="D4" s="109">
        <f>APCS!G8</f>
        <v>20</v>
      </c>
    </row>
    <row r="5" spans="2:8" x14ac:dyDescent="0.15">
      <c r="B5" s="77" t="s">
        <v>177</v>
      </c>
      <c r="C5" s="78"/>
      <c r="D5" s="110">
        <f>APCS!G5</f>
        <v>3</v>
      </c>
    </row>
    <row r="6" spans="2:8" x14ac:dyDescent="0.15">
      <c r="B6" s="75" t="s">
        <v>226</v>
      </c>
      <c r="C6" s="76"/>
      <c r="D6" s="111">
        <f>APCS!G10</f>
        <v>0</v>
      </c>
    </row>
    <row r="7" spans="2:8" x14ac:dyDescent="0.15">
      <c r="B7" s="77" t="s">
        <v>0</v>
      </c>
      <c r="C7" s="78"/>
      <c r="D7" s="110">
        <f>APCS!G6</f>
        <v>24</v>
      </c>
    </row>
    <row r="8" spans="2:8" x14ac:dyDescent="0.15">
      <c r="B8" s="99" t="s">
        <v>313</v>
      </c>
      <c r="C8" s="100"/>
      <c r="D8" s="101">
        <f>IF(OR(D5=3,D5=7,D5=19,D5=36,D5=75,D5=76,D5=78),F43,IF(D5=5,F51,IF(D5=1,F60)))</f>
        <v>3404000</v>
      </c>
    </row>
    <row r="9" spans="2:8" ht="14" thickBot="1" x14ac:dyDescent="0.2">
      <c r="B9" s="102"/>
      <c r="C9" s="103"/>
      <c r="D9" s="104"/>
    </row>
    <row r="11" spans="2:8" ht="14" thickBot="1" x14ac:dyDescent="0.2"/>
    <row r="12" spans="2:8" ht="23" x14ac:dyDescent="0.25">
      <c r="B12" s="107" t="s">
        <v>530</v>
      </c>
      <c r="C12" s="105"/>
      <c r="D12" s="105"/>
      <c r="E12" s="105"/>
      <c r="F12" s="105"/>
      <c r="G12" s="105"/>
      <c r="H12" s="106"/>
    </row>
    <row r="13" spans="2:8" x14ac:dyDescent="0.15">
      <c r="B13" s="79"/>
      <c r="C13" s="80"/>
      <c r="D13" s="80"/>
      <c r="E13" s="80"/>
      <c r="F13" s="80"/>
      <c r="G13" s="80"/>
      <c r="H13" s="81"/>
    </row>
    <row r="14" spans="2:8" x14ac:dyDescent="0.15">
      <c r="B14" s="82" t="s">
        <v>315</v>
      </c>
      <c r="C14" s="83"/>
      <c r="D14" s="83"/>
      <c r="E14" s="83"/>
      <c r="F14" s="83"/>
      <c r="G14" s="83"/>
      <c r="H14" s="84"/>
    </row>
    <row r="15" spans="2:8" x14ac:dyDescent="0.15">
      <c r="B15" s="85"/>
      <c r="C15" s="86"/>
      <c r="D15" s="86"/>
      <c r="E15" s="86"/>
      <c r="F15" s="86"/>
      <c r="G15" s="86"/>
      <c r="H15" s="87"/>
    </row>
    <row r="16" spans="2:8" x14ac:dyDescent="0.15">
      <c r="B16" s="88"/>
      <c r="C16" s="89" t="s">
        <v>326</v>
      </c>
      <c r="D16" s="86"/>
      <c r="E16" s="89" t="s">
        <v>325</v>
      </c>
      <c r="F16" s="89"/>
      <c r="G16" s="89" t="s">
        <v>330</v>
      </c>
      <c r="H16" s="87"/>
    </row>
    <row r="17" spans="2:8" x14ac:dyDescent="0.15">
      <c r="B17" s="88"/>
      <c r="C17" s="89" t="s">
        <v>327</v>
      </c>
      <c r="D17" s="86"/>
      <c r="E17" s="89" t="s">
        <v>328</v>
      </c>
      <c r="F17" s="89"/>
      <c r="G17" s="89" t="s">
        <v>331</v>
      </c>
      <c r="H17" s="87"/>
    </row>
    <row r="18" spans="2:8" x14ac:dyDescent="0.15">
      <c r="B18" s="88"/>
      <c r="C18" s="89"/>
      <c r="D18" s="86"/>
      <c r="E18" s="89" t="s">
        <v>329</v>
      </c>
      <c r="F18" s="89"/>
      <c r="G18" s="89"/>
      <c r="H18" s="87"/>
    </row>
    <row r="19" spans="2:8" x14ac:dyDescent="0.15">
      <c r="B19" s="82" t="s">
        <v>240</v>
      </c>
      <c r="C19" s="90"/>
      <c r="D19" s="90"/>
      <c r="E19" s="90"/>
      <c r="F19" s="90"/>
      <c r="G19" s="90"/>
      <c r="H19" s="91"/>
    </row>
    <row r="20" spans="2:8" x14ac:dyDescent="0.15">
      <c r="B20" s="85"/>
      <c r="C20" s="89">
        <v>60</v>
      </c>
      <c r="D20" s="89"/>
      <c r="E20" s="89">
        <v>110</v>
      </c>
      <c r="F20" s="89"/>
      <c r="G20" s="89">
        <v>150</v>
      </c>
      <c r="H20" s="92"/>
    </row>
    <row r="21" spans="2:8" x14ac:dyDescent="0.15">
      <c r="B21" s="82" t="s">
        <v>305</v>
      </c>
      <c r="C21" s="90"/>
      <c r="D21" s="90"/>
      <c r="E21" s="90"/>
      <c r="F21" s="90"/>
      <c r="G21" s="90"/>
      <c r="H21" s="91"/>
    </row>
    <row r="22" spans="2:8" x14ac:dyDescent="0.15">
      <c r="B22" s="85" t="s">
        <v>302</v>
      </c>
      <c r="C22" s="89">
        <v>50</v>
      </c>
      <c r="D22" s="89"/>
      <c r="E22" s="89">
        <v>94</v>
      </c>
      <c r="F22" s="89"/>
      <c r="G22" s="89">
        <v>130</v>
      </c>
      <c r="H22" s="92"/>
    </row>
    <row r="23" spans="2:8" x14ac:dyDescent="0.15">
      <c r="B23" s="85" t="s">
        <v>303</v>
      </c>
      <c r="C23" s="89">
        <v>35</v>
      </c>
      <c r="D23" s="89"/>
      <c r="E23" s="89">
        <v>81</v>
      </c>
      <c r="F23" s="89"/>
      <c r="G23" s="89">
        <v>81</v>
      </c>
      <c r="H23" s="92"/>
    </row>
    <row r="24" spans="2:8" x14ac:dyDescent="0.15">
      <c r="B24" s="85" t="s">
        <v>304</v>
      </c>
      <c r="C24" s="89">
        <v>20</v>
      </c>
      <c r="D24" s="89"/>
      <c r="E24" s="89">
        <v>66</v>
      </c>
      <c r="F24" s="89"/>
      <c r="G24" s="89"/>
      <c r="H24" s="92"/>
    </row>
    <row r="25" spans="2:8" x14ac:dyDescent="0.15">
      <c r="B25" s="85"/>
      <c r="C25" s="89"/>
      <c r="D25" s="89"/>
      <c r="E25" s="89"/>
      <c r="F25" s="89"/>
      <c r="G25" s="89"/>
      <c r="H25" s="92"/>
    </row>
    <row r="26" spans="2:8" x14ac:dyDescent="0.15">
      <c r="B26" s="82" t="s">
        <v>308</v>
      </c>
      <c r="C26" s="90"/>
      <c r="D26" s="90"/>
      <c r="E26" s="90"/>
      <c r="F26" s="90"/>
      <c r="G26" s="90"/>
      <c r="H26" s="91"/>
    </row>
    <row r="27" spans="2:8" x14ac:dyDescent="0.15">
      <c r="B27" s="85" t="s">
        <v>302</v>
      </c>
      <c r="C27" s="89">
        <v>35</v>
      </c>
      <c r="D27" s="89"/>
      <c r="E27" s="89">
        <v>69</v>
      </c>
      <c r="F27" s="89"/>
      <c r="G27" s="89">
        <v>100</v>
      </c>
      <c r="H27" s="92"/>
    </row>
    <row r="28" spans="2:8" x14ac:dyDescent="0.15">
      <c r="B28" s="85" t="s">
        <v>303</v>
      </c>
      <c r="C28" s="89">
        <v>25</v>
      </c>
      <c r="D28" s="89"/>
      <c r="E28" s="89">
        <v>59</v>
      </c>
      <c r="F28" s="89"/>
      <c r="G28" s="89">
        <v>59</v>
      </c>
      <c r="H28" s="92"/>
    </row>
    <row r="29" spans="2:8" x14ac:dyDescent="0.15">
      <c r="B29" s="85" t="s">
        <v>304</v>
      </c>
      <c r="C29" s="89">
        <v>19</v>
      </c>
      <c r="D29" s="89"/>
      <c r="E29" s="89">
        <v>53</v>
      </c>
      <c r="F29" s="89"/>
      <c r="G29" s="89"/>
      <c r="H29" s="92"/>
    </row>
    <row r="30" spans="2:8" x14ac:dyDescent="0.15">
      <c r="B30" s="85"/>
      <c r="C30" s="89"/>
      <c r="D30" s="89"/>
      <c r="E30" s="89"/>
      <c r="F30" s="89"/>
      <c r="G30" s="89"/>
      <c r="H30" s="92"/>
    </row>
    <row r="31" spans="2:8" x14ac:dyDescent="0.15">
      <c r="B31" s="82" t="s">
        <v>306</v>
      </c>
      <c r="C31" s="90"/>
      <c r="D31" s="90">
        <v>60</v>
      </c>
      <c r="E31" s="90" t="s">
        <v>318</v>
      </c>
      <c r="F31" s="90"/>
      <c r="G31" s="90"/>
      <c r="H31" s="91"/>
    </row>
    <row r="32" spans="2:8" x14ac:dyDescent="0.15">
      <c r="B32" s="85"/>
      <c r="C32" s="89"/>
      <c r="D32" s="89"/>
      <c r="E32" s="89"/>
      <c r="F32" s="89"/>
      <c r="G32" s="89"/>
      <c r="H32" s="92"/>
    </row>
    <row r="33" spans="2:8" x14ac:dyDescent="0.15">
      <c r="B33" s="82" t="s">
        <v>307</v>
      </c>
      <c r="C33" s="90"/>
      <c r="D33" s="90">
        <v>10</v>
      </c>
      <c r="E33" s="90" t="s">
        <v>318</v>
      </c>
      <c r="F33" s="90"/>
      <c r="G33" s="90"/>
      <c r="H33" s="91"/>
    </row>
    <row r="34" spans="2:8" ht="14" thickBot="1" x14ac:dyDescent="0.2">
      <c r="B34" s="93"/>
      <c r="C34" s="94"/>
      <c r="D34" s="94"/>
      <c r="E34" s="94"/>
      <c r="F34" s="94"/>
      <c r="G34" s="94"/>
      <c r="H34" s="95"/>
    </row>
    <row r="35" spans="2:8" ht="14" thickBot="1" x14ac:dyDescent="0.2">
      <c r="B35" s="35"/>
      <c r="C35" s="35"/>
      <c r="D35" s="35"/>
      <c r="E35" s="35"/>
      <c r="F35" s="35"/>
    </row>
    <row r="36" spans="2:8" x14ac:dyDescent="0.15">
      <c r="B36" s="412" t="s">
        <v>321</v>
      </c>
      <c r="C36" s="413"/>
      <c r="D36" s="413"/>
      <c r="E36" s="413"/>
      <c r="F36" s="414"/>
    </row>
    <row r="37" spans="2:8" x14ac:dyDescent="0.15">
      <c r="B37" s="85" t="s">
        <v>250</v>
      </c>
      <c r="C37" s="89"/>
      <c r="D37" s="89"/>
      <c r="E37" s="89"/>
      <c r="F37" s="92">
        <f>D3</f>
        <v>1000000</v>
      </c>
    </row>
    <row r="38" spans="2:8" x14ac:dyDescent="0.15">
      <c r="B38" s="85" t="s">
        <v>310</v>
      </c>
      <c r="C38" s="89">
        <f>IF(D4&gt;=5,5,D4)</f>
        <v>5</v>
      </c>
      <c r="D38" s="89">
        <f>IF(D4&gt;=20,C22,IF(AND(D4&gt;=15,D4&lt;=19),C23,IF(D4&lt;=14,C24)))</f>
        <v>50</v>
      </c>
      <c r="E38" s="89">
        <f>D3/1000</f>
        <v>1000</v>
      </c>
      <c r="F38" s="92">
        <f>C38*D38*E38</f>
        <v>250000</v>
      </c>
    </row>
    <row r="39" spans="2:8" x14ac:dyDescent="0.15">
      <c r="B39" s="85" t="s">
        <v>310</v>
      </c>
      <c r="C39" s="89">
        <f>IF(D4&gt;=16,11,D4-5)</f>
        <v>11</v>
      </c>
      <c r="D39" s="89">
        <f>IF(D4&gt;=20,E22,IF(AND(D4&gt;=15,D4&lt;=19),E23,IF(D4&lt;=14,E24)))</f>
        <v>94</v>
      </c>
      <c r="E39" s="89">
        <f>D3/1000</f>
        <v>1000</v>
      </c>
      <c r="F39" s="92">
        <f>C39*D39*E39</f>
        <v>1034000</v>
      </c>
    </row>
    <row r="40" spans="2:8" x14ac:dyDescent="0.15">
      <c r="B40" s="85" t="s">
        <v>310</v>
      </c>
      <c r="C40" s="89">
        <f>IF(D4&gt;16,D4-16,0)</f>
        <v>4</v>
      </c>
      <c r="D40" s="89">
        <f>IF(D4&gt;=20,G22,IF(AND(D4&gt;=15,D4&lt;=19),G23,IF(D4&lt;=14,G24)))</f>
        <v>130</v>
      </c>
      <c r="E40" s="89">
        <f>D3/1000</f>
        <v>1000</v>
      </c>
      <c r="F40" s="92">
        <f>C40*D40*E40</f>
        <v>520000</v>
      </c>
    </row>
    <row r="41" spans="2:8" x14ac:dyDescent="0.15">
      <c r="B41" s="85" t="s">
        <v>311</v>
      </c>
      <c r="C41" s="89">
        <f>D4-10</f>
        <v>10</v>
      </c>
      <c r="D41" s="89">
        <f>D31</f>
        <v>60</v>
      </c>
      <c r="E41" s="89">
        <f>D3/1000</f>
        <v>1000</v>
      </c>
      <c r="F41" s="92">
        <f>C41*D41*E41</f>
        <v>600000</v>
      </c>
    </row>
    <row r="42" spans="2:8" x14ac:dyDescent="0.15">
      <c r="B42" s="85" t="s">
        <v>312</v>
      </c>
      <c r="C42" s="89">
        <f>D4-10</f>
        <v>10</v>
      </c>
      <c r="D42" s="89">
        <f>IF(D6="y",10,0)</f>
        <v>0</v>
      </c>
      <c r="E42" s="89">
        <f>D3/1000</f>
        <v>1000</v>
      </c>
      <c r="F42" s="92">
        <f>C42*D42*E42</f>
        <v>0</v>
      </c>
    </row>
    <row r="43" spans="2:8" ht="14" thickBot="1" x14ac:dyDescent="0.2">
      <c r="B43" s="96"/>
      <c r="C43" s="97"/>
      <c r="D43" s="97"/>
      <c r="E43" s="97"/>
      <c r="F43" s="98">
        <f>SUM(F37:F42)</f>
        <v>3404000</v>
      </c>
    </row>
    <row r="44" spans="2:8" ht="14" thickBot="1" x14ac:dyDescent="0.2">
      <c r="B44" s="35"/>
      <c r="C44" s="35"/>
      <c r="D44" s="35"/>
      <c r="E44" s="35"/>
      <c r="F44" s="35"/>
    </row>
    <row r="45" spans="2:8" x14ac:dyDescent="0.15">
      <c r="B45" s="412" t="s">
        <v>322</v>
      </c>
      <c r="C45" s="413"/>
      <c r="D45" s="413"/>
      <c r="E45" s="413"/>
      <c r="F45" s="414"/>
    </row>
    <row r="46" spans="2:8" x14ac:dyDescent="0.15">
      <c r="B46" s="85" t="s">
        <v>250</v>
      </c>
      <c r="C46" s="89"/>
      <c r="D46" s="89"/>
      <c r="E46" s="89"/>
      <c r="F46" s="92">
        <f>D3</f>
        <v>1000000</v>
      </c>
    </row>
    <row r="47" spans="2:8" x14ac:dyDescent="0.15">
      <c r="B47" s="85" t="s">
        <v>310</v>
      </c>
      <c r="C47" s="89">
        <f>IF(D4&gt;=5,5,D4)</f>
        <v>5</v>
      </c>
      <c r="D47" s="89">
        <f>IF(D4&gt;=20,C27,IF(AND(D4&gt;=15,D4&lt;=19),C28,IF(D4&lt;=14,C29)))</f>
        <v>35</v>
      </c>
      <c r="E47" s="89">
        <f>D3/1000</f>
        <v>1000</v>
      </c>
      <c r="F47" s="92">
        <f>C47*D47*E47</f>
        <v>175000</v>
      </c>
    </row>
    <row r="48" spans="2:8" x14ac:dyDescent="0.15">
      <c r="B48" s="85" t="s">
        <v>310</v>
      </c>
      <c r="C48" s="89">
        <f>IF(D4&gt;=16,11,D4-5)</f>
        <v>11</v>
      </c>
      <c r="D48" s="89">
        <f>IF(D4&gt;=20,E27,IF(AND(D4&gt;=15,D4&lt;=19),E28,IF(D4&lt;=14,E29)))</f>
        <v>69</v>
      </c>
      <c r="E48" s="89">
        <f>D3/1000</f>
        <v>1000</v>
      </c>
      <c r="F48" s="92">
        <f>C48*D48*E48</f>
        <v>759000</v>
      </c>
    </row>
    <row r="49" spans="2:6" x14ac:dyDescent="0.15">
      <c r="B49" s="85" t="s">
        <v>310</v>
      </c>
      <c r="C49" s="89">
        <f>IF(D4&gt;16,D4-16,0)</f>
        <v>4</v>
      </c>
      <c r="D49" s="89">
        <f>IF(D4&gt;=20,G27,IF(AND(D4&gt;=15,D4&lt;=19),G28,IF(D4&lt;=14,G29)))</f>
        <v>100</v>
      </c>
      <c r="E49" s="89">
        <f>D3/1000</f>
        <v>1000</v>
      </c>
      <c r="F49" s="92">
        <f>C49*D49*E49</f>
        <v>400000</v>
      </c>
    </row>
    <row r="50" spans="2:6" x14ac:dyDescent="0.15">
      <c r="B50" s="85" t="s">
        <v>312</v>
      </c>
      <c r="C50" s="89">
        <f>D4-10</f>
        <v>10</v>
      </c>
      <c r="D50" s="89">
        <f>IF(D6="y",10,0)</f>
        <v>0</v>
      </c>
      <c r="E50" s="89">
        <f>D3/1000</f>
        <v>1000</v>
      </c>
      <c r="F50" s="92">
        <f>C50*D50*E50</f>
        <v>0</v>
      </c>
    </row>
    <row r="51" spans="2:6" ht="14" thickBot="1" x14ac:dyDescent="0.2">
      <c r="B51" s="96"/>
      <c r="C51" s="97"/>
      <c r="D51" s="97"/>
      <c r="E51" s="97"/>
      <c r="F51" s="98">
        <f>SUM(F46:F50)</f>
        <v>2334000</v>
      </c>
    </row>
    <row r="52" spans="2:6" ht="14" thickBot="1" x14ac:dyDescent="0.2">
      <c r="B52" s="35"/>
      <c r="C52" s="35"/>
      <c r="D52" s="35"/>
      <c r="E52" s="35"/>
      <c r="F52" s="35"/>
    </row>
    <row r="53" spans="2:6" x14ac:dyDescent="0.15">
      <c r="B53" s="412" t="s">
        <v>323</v>
      </c>
      <c r="C53" s="413"/>
      <c r="D53" s="413"/>
      <c r="E53" s="413"/>
      <c r="F53" s="414"/>
    </row>
    <row r="54" spans="2:6" x14ac:dyDescent="0.15">
      <c r="B54" s="85" t="s">
        <v>250</v>
      </c>
      <c r="C54" s="89"/>
      <c r="D54" s="89"/>
      <c r="E54" s="89"/>
      <c r="F54" s="92">
        <f>D3</f>
        <v>1000000</v>
      </c>
    </row>
    <row r="55" spans="2:6" x14ac:dyDescent="0.15">
      <c r="B55" s="85" t="s">
        <v>310</v>
      </c>
      <c r="C55" s="89">
        <f>IF(D108&gt;=5,5,D108)</f>
        <v>5</v>
      </c>
      <c r="D55" s="89">
        <v>60</v>
      </c>
      <c r="E55" s="89">
        <f>D3/1000</f>
        <v>1000</v>
      </c>
      <c r="F55" s="92">
        <f>C55*D55*E55</f>
        <v>300000</v>
      </c>
    </row>
    <row r="56" spans="2:6" x14ac:dyDescent="0.15">
      <c r="B56" s="85" t="s">
        <v>310</v>
      </c>
      <c r="C56" s="89">
        <f>IF(D108&gt;=16,11,D108-5)</f>
        <v>11</v>
      </c>
      <c r="D56" s="89">
        <v>110</v>
      </c>
      <c r="E56" s="89">
        <f>D3/1000</f>
        <v>1000</v>
      </c>
      <c r="F56" s="92">
        <f>C56*D56*E56</f>
        <v>1210000</v>
      </c>
    </row>
    <row r="57" spans="2:6" x14ac:dyDescent="0.15">
      <c r="B57" s="85" t="s">
        <v>310</v>
      </c>
      <c r="C57" s="89">
        <f>IF(D108&gt;16,D108-16)</f>
        <v>45</v>
      </c>
      <c r="D57" s="89">
        <v>150</v>
      </c>
      <c r="E57" s="89">
        <f>D3/1000</f>
        <v>1000</v>
      </c>
      <c r="F57" s="92">
        <f>C57*D57*E57</f>
        <v>6750000</v>
      </c>
    </row>
    <row r="58" spans="2:6" x14ac:dyDescent="0.15">
      <c r="B58" s="85" t="s">
        <v>311</v>
      </c>
      <c r="C58" s="89">
        <f>F108</f>
        <v>20</v>
      </c>
      <c r="D58" s="89">
        <f>D31</f>
        <v>60</v>
      </c>
      <c r="E58" s="89">
        <f>D3/1000</f>
        <v>1000</v>
      </c>
      <c r="F58" s="92">
        <f>C58*D58*E58</f>
        <v>1200000</v>
      </c>
    </row>
    <row r="59" spans="2:6" x14ac:dyDescent="0.15">
      <c r="B59" s="85" t="s">
        <v>312</v>
      </c>
      <c r="C59" s="89">
        <f>F108</f>
        <v>20</v>
      </c>
      <c r="D59" s="89">
        <f>IF(D6="y",10,0)</f>
        <v>0</v>
      </c>
      <c r="E59" s="89">
        <f>D3/1000</f>
        <v>1000</v>
      </c>
      <c r="F59" s="92">
        <f>C59*D59*E59</f>
        <v>0</v>
      </c>
    </row>
    <row r="60" spans="2:6" ht="14" thickBot="1" x14ac:dyDescent="0.2">
      <c r="B60" s="96"/>
      <c r="C60" s="97"/>
      <c r="D60" s="97"/>
      <c r="E60" s="97"/>
      <c r="F60" s="98">
        <f>SUM(F54:F59)</f>
        <v>10460000</v>
      </c>
    </row>
    <row r="61" spans="2:6" x14ac:dyDescent="0.15">
      <c r="B61" s="35"/>
      <c r="C61" s="35"/>
      <c r="D61" s="35"/>
      <c r="E61" s="35"/>
      <c r="F61" s="35"/>
    </row>
    <row r="62" spans="2:6" x14ac:dyDescent="0.15">
      <c r="B62" s="35"/>
      <c r="C62" s="35"/>
      <c r="D62" s="35"/>
      <c r="E62" s="35"/>
      <c r="F62" s="35"/>
    </row>
    <row r="63" spans="2:6" x14ac:dyDescent="0.15">
      <c r="B63" s="35"/>
      <c r="C63" s="35"/>
      <c r="D63" s="35"/>
      <c r="E63" s="35"/>
      <c r="F63" s="35"/>
    </row>
    <row r="64" spans="2:6" x14ac:dyDescent="0.15">
      <c r="B64" s="35"/>
      <c r="C64" s="35"/>
      <c r="D64" s="35"/>
      <c r="E64" s="35"/>
      <c r="F64" s="35"/>
    </row>
    <row r="65" spans="2:6" x14ac:dyDescent="0.15">
      <c r="B65" s="35"/>
      <c r="C65" s="35"/>
      <c r="D65" s="35"/>
      <c r="E65" s="35"/>
      <c r="F65" s="35"/>
    </row>
    <row r="66" spans="2:6" x14ac:dyDescent="0.15">
      <c r="B66" s="35"/>
      <c r="C66" s="35"/>
      <c r="D66" s="35"/>
      <c r="E66" s="35"/>
      <c r="F66" s="35"/>
    </row>
    <row r="67" spans="2:6" x14ac:dyDescent="0.15">
      <c r="B67" s="35"/>
      <c r="C67" s="35"/>
      <c r="D67" s="35"/>
      <c r="E67" s="35"/>
      <c r="F67" s="35"/>
    </row>
    <row r="68" spans="2:6" x14ac:dyDescent="0.15">
      <c r="B68" s="35"/>
      <c r="C68" s="35"/>
      <c r="D68" s="35"/>
      <c r="E68" s="35"/>
      <c r="F68" s="35"/>
    </row>
    <row r="107" spans="3:6" x14ac:dyDescent="0.15">
      <c r="C107" s="33" t="s">
        <v>314</v>
      </c>
      <c r="D107" s="33" t="s">
        <v>272</v>
      </c>
    </row>
    <row r="108" spans="3:6" x14ac:dyDescent="0.15">
      <c r="C108" s="33">
        <v>85</v>
      </c>
      <c r="D108" s="33">
        <f>C108-D7</f>
        <v>61</v>
      </c>
      <c r="E108" s="33">
        <f>D108-10</f>
        <v>51</v>
      </c>
      <c r="F108" s="33">
        <f>IF(E108&gt;=20,20,E108)</f>
        <v>20</v>
      </c>
    </row>
  </sheetData>
  <sheetProtection password="D3C7" sheet="1" objects="1" scenarios="1"/>
  <mergeCells count="3">
    <mergeCell ref="B36:F36"/>
    <mergeCell ref="B45:F45"/>
    <mergeCell ref="B53:F53"/>
  </mergeCells>
  <phoneticPr fontId="0" type="noConversion"/>
  <pageMargins left="0.75" right="0.75" top="1" bottom="1" header="0.5" footer="0.5"/>
  <pageSetup orientation="portrait" horizontalDpi="180" verticalDpi="18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C109"/>
  <sheetViews>
    <sheetView topLeftCell="KD1" workbookViewId="0">
      <selection activeCell="KN8" sqref="KN8"/>
    </sheetView>
  </sheetViews>
  <sheetFormatPr baseColWidth="10" defaultColWidth="9.1640625" defaultRowHeight="13" x14ac:dyDescent="0.15"/>
  <cols>
    <col min="1" max="1" width="10.5" style="1" hidden="1" customWidth="1"/>
    <col min="2" max="190" width="9.1640625" style="1" hidden="1" customWidth="1"/>
    <col min="191" max="191" width="8.33203125" style="1" hidden="1" customWidth="1"/>
    <col min="192" max="223" width="9.1640625" style="1" hidden="1" customWidth="1"/>
    <col min="224" max="289" width="0" style="1" hidden="1" customWidth="1"/>
    <col min="290" max="16384" width="9.1640625" style="1"/>
  </cols>
  <sheetData>
    <row r="1" spans="1:289" x14ac:dyDescent="0.15">
      <c r="A1" s="1" t="s">
        <v>0</v>
      </c>
      <c r="B1" s="1" t="s">
        <v>198</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199</v>
      </c>
      <c r="AN1" s="1" t="s">
        <v>200</v>
      </c>
      <c r="AO1" s="1" t="s">
        <v>201</v>
      </c>
      <c r="AP1" s="1" t="s">
        <v>202</v>
      </c>
      <c r="AQ1" s="1" t="s">
        <v>203</v>
      </c>
      <c r="AR1" s="1" t="s">
        <v>204</v>
      </c>
      <c r="AS1" s="1" t="s">
        <v>205</v>
      </c>
      <c r="AT1" s="1" t="s">
        <v>206</v>
      </c>
      <c r="AU1" s="1" t="s">
        <v>207</v>
      </c>
      <c r="AV1" s="1" t="s">
        <v>208</v>
      </c>
      <c r="AW1" s="1" t="s">
        <v>47</v>
      </c>
      <c r="AX1" s="1" t="s">
        <v>48</v>
      </c>
      <c r="AY1" s="1" t="s">
        <v>49</v>
      </c>
      <c r="AZ1" s="1" t="s">
        <v>50</v>
      </c>
      <c r="BA1" s="1" t="s">
        <v>51</v>
      </c>
      <c r="BB1" s="7" t="s">
        <v>183</v>
      </c>
      <c r="BC1" s="7" t="s">
        <v>184</v>
      </c>
      <c r="BD1" s="7" t="s">
        <v>185</v>
      </c>
      <c r="BE1" s="7" t="s">
        <v>186</v>
      </c>
      <c r="BF1" s="7" t="s">
        <v>187</v>
      </c>
      <c r="BG1" s="7" t="s">
        <v>188</v>
      </c>
      <c r="BH1" s="7" t="s">
        <v>189</v>
      </c>
      <c r="BI1" s="7" t="s">
        <v>190</v>
      </c>
      <c r="BJ1" s="7" t="s">
        <v>191</v>
      </c>
      <c r="BK1" s="7" t="s">
        <v>192</v>
      </c>
      <c r="BL1" s="7" t="s">
        <v>193</v>
      </c>
      <c r="BM1" s="7" t="s">
        <v>194</v>
      </c>
      <c r="BN1" s="7" t="s">
        <v>195</v>
      </c>
      <c r="BO1" s="7" t="s">
        <v>196</v>
      </c>
      <c r="BP1" s="7" t="s">
        <v>197</v>
      </c>
      <c r="BQ1" s="1" t="s">
        <v>52</v>
      </c>
      <c r="BR1" s="1" t="s">
        <v>53</v>
      </c>
      <c r="BS1" s="1" t="s">
        <v>54</v>
      </c>
      <c r="BT1" s="1" t="s">
        <v>55</v>
      </c>
      <c r="BU1" s="1" t="s">
        <v>56</v>
      </c>
      <c r="BV1" s="1" t="s">
        <v>57</v>
      </c>
      <c r="BW1" s="1" t="s">
        <v>58</v>
      </c>
      <c r="BX1" s="1" t="s">
        <v>59</v>
      </c>
      <c r="BY1" s="1" t="s">
        <v>60</v>
      </c>
      <c r="BZ1" s="1" t="s">
        <v>61</v>
      </c>
      <c r="CA1" s="1" t="s">
        <v>131</v>
      </c>
      <c r="CB1" s="1" t="s">
        <v>132</v>
      </c>
      <c r="CC1" s="1" t="s">
        <v>133</v>
      </c>
      <c r="CD1" s="1" t="s">
        <v>134</v>
      </c>
      <c r="CE1" s="1" t="s">
        <v>135</v>
      </c>
      <c r="CF1" s="1" t="s">
        <v>136</v>
      </c>
      <c r="CG1" s="1" t="s">
        <v>137</v>
      </c>
      <c r="CH1" s="1" t="s">
        <v>138</v>
      </c>
      <c r="CI1" s="1" t="s">
        <v>139</v>
      </c>
      <c r="CJ1" s="1" t="s">
        <v>140</v>
      </c>
      <c r="CK1" s="1" t="s">
        <v>141</v>
      </c>
      <c r="CL1" s="1" t="s">
        <v>142</v>
      </c>
      <c r="CM1" s="1" t="s">
        <v>143</v>
      </c>
      <c r="CN1" s="1" t="s">
        <v>144</v>
      </c>
      <c r="CO1" s="1" t="s">
        <v>145</v>
      </c>
      <c r="CP1" s="1" t="s">
        <v>146</v>
      </c>
      <c r="CQ1" s="1" t="s">
        <v>147</v>
      </c>
      <c r="CR1" s="1" t="s">
        <v>148</v>
      </c>
      <c r="CS1" s="1" t="s">
        <v>149</v>
      </c>
      <c r="CT1" s="1" t="s">
        <v>150</v>
      </c>
      <c r="CU1" s="1" t="s">
        <v>151</v>
      </c>
      <c r="CV1" s="1" t="s">
        <v>152</v>
      </c>
      <c r="CW1" s="1" t="s">
        <v>153</v>
      </c>
      <c r="CX1" s="1" t="s">
        <v>154</v>
      </c>
      <c r="CY1" s="1" t="s">
        <v>155</v>
      </c>
      <c r="CZ1" s="1" t="s">
        <v>156</v>
      </c>
      <c r="DA1" s="1" t="s">
        <v>157</v>
      </c>
      <c r="DB1" s="1" t="s">
        <v>158</v>
      </c>
      <c r="DC1" s="1" t="s">
        <v>159</v>
      </c>
      <c r="DD1" s="1" t="s">
        <v>160</v>
      </c>
      <c r="DE1" s="1" t="s">
        <v>161</v>
      </c>
      <c r="DF1" s="1" t="s">
        <v>162</v>
      </c>
      <c r="DG1" s="1" t="s">
        <v>163</v>
      </c>
      <c r="DH1" s="1" t="s">
        <v>164</v>
      </c>
      <c r="DI1" s="1" t="s">
        <v>165</v>
      </c>
      <c r="DJ1" s="1" t="s">
        <v>166</v>
      </c>
      <c r="DK1" s="1" t="s">
        <v>167</v>
      </c>
      <c r="DL1" s="1" t="s">
        <v>168</v>
      </c>
      <c r="DM1" s="1" t="s">
        <v>169</v>
      </c>
      <c r="DN1" s="1" t="s">
        <v>170</v>
      </c>
      <c r="DO1" s="1" t="s">
        <v>171</v>
      </c>
      <c r="DP1" s="1" t="s">
        <v>172</v>
      </c>
      <c r="DQ1" s="1" t="s">
        <v>173</v>
      </c>
      <c r="DR1" s="1" t="s">
        <v>174</v>
      </c>
      <c r="DS1" s="1" t="s">
        <v>175</v>
      </c>
      <c r="DT1" s="1" t="s">
        <v>176</v>
      </c>
      <c r="DU1" s="1" t="s">
        <v>37</v>
      </c>
      <c r="DV1" s="1" t="s">
        <v>80</v>
      </c>
      <c r="DW1" s="1" t="s">
        <v>81</v>
      </c>
      <c r="DX1" s="1" t="s">
        <v>82</v>
      </c>
      <c r="DY1" s="1" t="s">
        <v>83</v>
      </c>
      <c r="DZ1" s="1" t="s">
        <v>38</v>
      </c>
      <c r="EA1" s="1" t="s">
        <v>84</v>
      </c>
      <c r="EB1" s="1" t="s">
        <v>85</v>
      </c>
      <c r="EC1" s="1" t="s">
        <v>39</v>
      </c>
      <c r="ED1" s="1" t="s">
        <v>86</v>
      </c>
      <c r="EE1" s="1" t="s">
        <v>40</v>
      </c>
      <c r="EF1" s="1" t="s">
        <v>41</v>
      </c>
      <c r="EG1" s="1" t="s">
        <v>87</v>
      </c>
      <c r="EH1" s="1" t="s">
        <v>88</v>
      </c>
      <c r="EI1" s="1" t="s">
        <v>42</v>
      </c>
      <c r="EJ1" s="1" t="s">
        <v>43</v>
      </c>
      <c r="EK1" s="1" t="s">
        <v>89</v>
      </c>
      <c r="EL1" s="1" t="s">
        <v>44</v>
      </c>
      <c r="EM1" s="1" t="s">
        <v>90</v>
      </c>
      <c r="EN1" s="1" t="s">
        <v>91</v>
      </c>
      <c r="EO1" s="1" t="s">
        <v>45</v>
      </c>
      <c r="EP1" s="1" t="s">
        <v>92</v>
      </c>
      <c r="EQ1" s="1" t="s">
        <v>93</v>
      </c>
      <c r="ER1" s="1" t="s">
        <v>94</v>
      </c>
      <c r="ES1" s="1" t="s">
        <v>95</v>
      </c>
      <c r="ET1" s="1" t="s">
        <v>46</v>
      </c>
      <c r="EU1" s="1" t="s">
        <v>96</v>
      </c>
      <c r="EV1" s="1" t="s">
        <v>97</v>
      </c>
      <c r="EW1" s="1" t="s">
        <v>98</v>
      </c>
      <c r="EX1" s="1" t="s">
        <v>99</v>
      </c>
      <c r="EY1" s="1" t="s">
        <v>100</v>
      </c>
      <c r="EZ1" s="1" t="s">
        <v>101</v>
      </c>
      <c r="FA1" s="1" t="s">
        <v>102</v>
      </c>
      <c r="FB1" s="1" t="s">
        <v>103</v>
      </c>
      <c r="FC1" s="1" t="s">
        <v>104</v>
      </c>
      <c r="FD1" s="1" t="s">
        <v>105</v>
      </c>
      <c r="FE1" s="1" t="s">
        <v>68</v>
      </c>
      <c r="FF1" s="1" t="s">
        <v>106</v>
      </c>
      <c r="FG1" s="1" t="s">
        <v>107</v>
      </c>
      <c r="FH1" s="1" t="s">
        <v>108</v>
      </c>
      <c r="FI1" s="1" t="s">
        <v>109</v>
      </c>
      <c r="FJ1" s="1" t="s">
        <v>69</v>
      </c>
      <c r="FK1" s="1" t="s">
        <v>110</v>
      </c>
      <c r="FL1" s="1" t="s">
        <v>111</v>
      </c>
      <c r="FM1" s="1" t="s">
        <v>70</v>
      </c>
      <c r="FN1" s="1" t="s">
        <v>112</v>
      </c>
      <c r="FO1" s="1" t="s">
        <v>71</v>
      </c>
      <c r="FP1" s="1" t="s">
        <v>72</v>
      </c>
      <c r="FQ1" s="1" t="s">
        <v>113</v>
      </c>
      <c r="FR1" s="1" t="s">
        <v>114</v>
      </c>
      <c r="FS1" s="1" t="s">
        <v>115</v>
      </c>
      <c r="FT1" s="1" t="s">
        <v>73</v>
      </c>
      <c r="FU1" s="1" t="s">
        <v>62</v>
      </c>
      <c r="FV1" s="1" t="s">
        <v>386</v>
      </c>
      <c r="FW1" s="1" t="s">
        <v>387</v>
      </c>
      <c r="FX1" s="1" t="s">
        <v>388</v>
      </c>
      <c r="FY1" s="1" t="s">
        <v>389</v>
      </c>
      <c r="FZ1" s="1" t="s">
        <v>63</v>
      </c>
      <c r="GA1" s="1" t="s">
        <v>390</v>
      </c>
      <c r="GB1" s="1" t="s">
        <v>391</v>
      </c>
      <c r="GC1" s="1" t="s">
        <v>64</v>
      </c>
      <c r="GD1" s="1" t="s">
        <v>392</v>
      </c>
      <c r="GE1" s="1" t="s">
        <v>65</v>
      </c>
      <c r="GF1" s="1" t="s">
        <v>66</v>
      </c>
      <c r="GG1" s="1" t="s">
        <v>393</v>
      </c>
      <c r="GH1" s="1" t="s">
        <v>394</v>
      </c>
      <c r="GI1" s="1" t="s">
        <v>116</v>
      </c>
      <c r="GJ1" s="1" t="s">
        <v>67</v>
      </c>
      <c r="GK1" s="1" t="s">
        <v>395</v>
      </c>
      <c r="GL1" s="1" t="s">
        <v>117</v>
      </c>
      <c r="GM1" s="1" t="s">
        <v>396</v>
      </c>
      <c r="GN1" s="1" t="s">
        <v>397</v>
      </c>
      <c r="GO1" s="1" t="s">
        <v>118</v>
      </c>
      <c r="GP1" s="1" t="s">
        <v>398</v>
      </c>
      <c r="GQ1" s="1" t="s">
        <v>399</v>
      </c>
      <c r="GR1" s="1" t="s">
        <v>400</v>
      </c>
      <c r="GS1" s="1" t="s">
        <v>401</v>
      </c>
      <c r="GT1" s="1" t="s">
        <v>119</v>
      </c>
      <c r="GU1" s="1" t="s">
        <v>402</v>
      </c>
      <c r="GV1" s="1" t="s">
        <v>403</v>
      </c>
      <c r="GW1" s="1" t="s">
        <v>404</v>
      </c>
      <c r="GX1" s="1" t="s">
        <v>405</v>
      </c>
      <c r="GY1" s="1" t="s">
        <v>120</v>
      </c>
      <c r="GZ1" s="1" t="s">
        <v>74</v>
      </c>
      <c r="HA1" s="1" t="s">
        <v>121</v>
      </c>
      <c r="HB1" s="1" t="s">
        <v>122</v>
      </c>
      <c r="HC1" s="1" t="s">
        <v>123</v>
      </c>
      <c r="HD1" s="1" t="s">
        <v>124</v>
      </c>
      <c r="HE1" s="1" t="s">
        <v>75</v>
      </c>
      <c r="HF1" s="1" t="s">
        <v>125</v>
      </c>
      <c r="HG1" s="1" t="s">
        <v>126</v>
      </c>
      <c r="HH1" s="1" t="s">
        <v>76</v>
      </c>
      <c r="HI1" s="1" t="s">
        <v>127</v>
      </c>
      <c r="HJ1" s="1" t="s">
        <v>77</v>
      </c>
      <c r="HK1" s="1" t="s">
        <v>78</v>
      </c>
      <c r="HL1" s="1" t="s">
        <v>128</v>
      </c>
      <c r="HM1" s="1" t="s">
        <v>129</v>
      </c>
      <c r="HN1" s="1" t="s">
        <v>130</v>
      </c>
      <c r="HO1" s="1" t="s">
        <v>79</v>
      </c>
      <c r="HP1" s="1" t="s">
        <v>422</v>
      </c>
      <c r="HQ1" t="s">
        <v>423</v>
      </c>
      <c r="HR1" t="s">
        <v>424</v>
      </c>
      <c r="HS1" t="s">
        <v>425</v>
      </c>
      <c r="HT1" t="s">
        <v>426</v>
      </c>
      <c r="HU1" t="s">
        <v>427</v>
      </c>
      <c r="HV1" t="s">
        <v>428</v>
      </c>
      <c r="HW1" t="s">
        <v>429</v>
      </c>
      <c r="HX1" t="s">
        <v>430</v>
      </c>
      <c r="HY1" t="s">
        <v>431</v>
      </c>
      <c r="HZ1" t="s">
        <v>432</v>
      </c>
      <c r="IA1" t="s">
        <v>433</v>
      </c>
      <c r="IB1" t="s">
        <v>434</v>
      </c>
      <c r="IC1" t="s">
        <v>435</v>
      </c>
      <c r="ID1" t="s">
        <v>436</v>
      </c>
      <c r="IE1" t="s">
        <v>437</v>
      </c>
      <c r="IF1" t="s">
        <v>438</v>
      </c>
      <c r="IG1" t="s">
        <v>439</v>
      </c>
      <c r="IH1" t="s">
        <v>440</v>
      </c>
      <c r="II1" t="s">
        <v>441</v>
      </c>
      <c r="IJ1" t="s">
        <v>442</v>
      </c>
      <c r="IK1" t="s">
        <v>443</v>
      </c>
      <c r="IL1" t="s">
        <v>444</v>
      </c>
      <c r="IM1" t="s">
        <v>445</v>
      </c>
      <c r="IN1" t="s">
        <v>446</v>
      </c>
      <c r="IO1" t="s">
        <v>447</v>
      </c>
      <c r="IP1" t="s">
        <v>448</v>
      </c>
      <c r="IQ1" t="s">
        <v>449</v>
      </c>
      <c r="IR1" t="s">
        <v>450</v>
      </c>
      <c r="IS1" t="s">
        <v>451</v>
      </c>
      <c r="IT1" t="s">
        <v>452</v>
      </c>
      <c r="IU1" t="s">
        <v>453</v>
      </c>
      <c r="IV1" t="s">
        <v>454</v>
      </c>
      <c r="IW1" t="s">
        <v>455</v>
      </c>
      <c r="IX1" t="s">
        <v>456</v>
      </c>
      <c r="IY1" t="s">
        <v>457</v>
      </c>
      <c r="IZ1" t="s">
        <v>458</v>
      </c>
      <c r="JA1" t="s">
        <v>459</v>
      </c>
      <c r="JB1" t="s">
        <v>460</v>
      </c>
      <c r="JC1" t="s">
        <v>461</v>
      </c>
      <c r="JD1" t="s">
        <v>462</v>
      </c>
      <c r="JE1" t="s">
        <v>463</v>
      </c>
      <c r="JF1" t="s">
        <v>464</v>
      </c>
      <c r="JG1" t="s">
        <v>465</v>
      </c>
      <c r="JH1" t="s">
        <v>466</v>
      </c>
      <c r="JI1" t="s">
        <v>467</v>
      </c>
      <c r="JJ1" t="s">
        <v>468</v>
      </c>
      <c r="JK1" t="s">
        <v>469</v>
      </c>
      <c r="JL1" t="s">
        <v>470</v>
      </c>
      <c r="JM1" t="s">
        <v>471</v>
      </c>
      <c r="JN1" t="s">
        <v>472</v>
      </c>
      <c r="JO1" t="s">
        <v>473</v>
      </c>
      <c r="JP1" t="s">
        <v>474</v>
      </c>
      <c r="JQ1" t="s">
        <v>475</v>
      </c>
      <c r="JR1" t="s">
        <v>476</v>
      </c>
      <c r="JS1" t="s">
        <v>477</v>
      </c>
      <c r="JT1" t="s">
        <v>478</v>
      </c>
      <c r="JU1" t="s">
        <v>479</v>
      </c>
      <c r="JV1" t="s">
        <v>480</v>
      </c>
      <c r="JW1" t="s">
        <v>481</v>
      </c>
      <c r="JX1" t="s">
        <v>482</v>
      </c>
      <c r="JY1" t="s">
        <v>483</v>
      </c>
      <c r="JZ1" t="s">
        <v>484</v>
      </c>
      <c r="KA1" t="s">
        <v>485</v>
      </c>
      <c r="KB1" t="s">
        <v>486</v>
      </c>
      <c r="KC1" t="s">
        <v>487</v>
      </c>
    </row>
    <row r="2" spans="1:289" x14ac:dyDescent="0.15">
      <c r="A2">
        <v>10</v>
      </c>
      <c r="B2" s="1">
        <v>11.27</v>
      </c>
      <c r="C2" s="1">
        <v>98.98</v>
      </c>
      <c r="D2" s="1">
        <v>0</v>
      </c>
      <c r="E2" s="1">
        <v>0</v>
      </c>
      <c r="F2" s="1">
        <v>0</v>
      </c>
      <c r="G2" s="1">
        <v>0</v>
      </c>
      <c r="H2" s="1">
        <v>64.31</v>
      </c>
      <c r="I2" s="1">
        <v>0</v>
      </c>
      <c r="J2" s="1">
        <v>0</v>
      </c>
      <c r="K2" s="1">
        <v>0</v>
      </c>
      <c r="L2" s="1">
        <v>0</v>
      </c>
      <c r="M2" s="1">
        <v>47.54</v>
      </c>
      <c r="N2" s="1">
        <v>0</v>
      </c>
      <c r="O2" s="1">
        <v>0</v>
      </c>
      <c r="P2" s="1">
        <v>0</v>
      </c>
      <c r="Q2" s="1">
        <v>0</v>
      </c>
      <c r="R2" s="1">
        <v>36.57</v>
      </c>
      <c r="S2" s="1">
        <v>0</v>
      </c>
      <c r="T2" s="1">
        <v>0</v>
      </c>
      <c r="U2" s="1">
        <v>0</v>
      </c>
      <c r="V2" s="1">
        <v>0</v>
      </c>
      <c r="W2" s="1">
        <v>29.29</v>
      </c>
      <c r="X2" s="1">
        <v>0</v>
      </c>
      <c r="Y2" s="1">
        <v>0</v>
      </c>
      <c r="Z2" s="1">
        <v>0</v>
      </c>
      <c r="AA2" s="1">
        <v>0</v>
      </c>
      <c r="AB2" s="1">
        <v>24.13</v>
      </c>
      <c r="AC2" s="1">
        <v>0</v>
      </c>
      <c r="AD2" s="1">
        <v>0</v>
      </c>
      <c r="AE2" s="1">
        <v>0</v>
      </c>
      <c r="AF2" s="1">
        <v>0</v>
      </c>
      <c r="AG2" s="1">
        <v>20.34</v>
      </c>
      <c r="AH2" s="1">
        <v>0</v>
      </c>
      <c r="AI2" s="1">
        <v>0</v>
      </c>
      <c r="AJ2" s="1">
        <v>0</v>
      </c>
      <c r="AK2" s="1">
        <v>0</v>
      </c>
      <c r="AL2" s="1">
        <v>17.5</v>
      </c>
      <c r="AM2" s="1">
        <v>0</v>
      </c>
      <c r="AN2" s="1">
        <v>0</v>
      </c>
      <c r="AO2" s="1">
        <v>0</v>
      </c>
      <c r="AP2" s="1">
        <v>0</v>
      </c>
      <c r="AQ2" s="1">
        <v>15.38</v>
      </c>
      <c r="AR2" s="1">
        <v>0</v>
      </c>
      <c r="AS2" s="1">
        <v>0</v>
      </c>
      <c r="AT2" s="1">
        <v>0</v>
      </c>
      <c r="AU2" s="1">
        <v>0</v>
      </c>
      <c r="AV2" s="1">
        <v>0</v>
      </c>
      <c r="AW2" s="1">
        <v>0</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s="1">
        <v>0</v>
      </c>
      <c r="BP2" s="1">
        <v>0</v>
      </c>
      <c r="BQ2" s="1">
        <v>0</v>
      </c>
      <c r="BR2" s="1">
        <v>0</v>
      </c>
      <c r="BS2" s="1">
        <v>0</v>
      </c>
      <c r="BT2" s="1">
        <v>0</v>
      </c>
      <c r="BU2" s="1">
        <v>0</v>
      </c>
      <c r="BV2" s="1">
        <v>0</v>
      </c>
      <c r="BW2" s="1">
        <v>0</v>
      </c>
      <c r="BX2" s="1">
        <v>0</v>
      </c>
      <c r="BY2" s="1">
        <v>0</v>
      </c>
      <c r="BZ2" s="1">
        <v>0</v>
      </c>
      <c r="CA2" s="1">
        <v>0</v>
      </c>
      <c r="CB2" s="1">
        <v>0</v>
      </c>
      <c r="CC2" s="1">
        <v>0</v>
      </c>
      <c r="CD2" s="1">
        <v>0</v>
      </c>
      <c r="CE2" s="1">
        <v>0</v>
      </c>
      <c r="CF2" s="1">
        <v>0</v>
      </c>
      <c r="CG2" s="1">
        <v>0</v>
      </c>
      <c r="CH2" s="1">
        <v>0</v>
      </c>
      <c r="CI2" s="1">
        <v>0</v>
      </c>
      <c r="CJ2" s="1">
        <v>0</v>
      </c>
      <c r="CK2" s="1">
        <v>0</v>
      </c>
      <c r="CL2" s="1">
        <v>0</v>
      </c>
      <c r="CM2" s="1">
        <v>0</v>
      </c>
      <c r="CN2" s="1">
        <v>0</v>
      </c>
      <c r="CO2" s="1">
        <v>0</v>
      </c>
      <c r="CP2" s="1">
        <v>0</v>
      </c>
      <c r="CQ2" s="1">
        <v>0</v>
      </c>
      <c r="CR2" s="1">
        <v>0</v>
      </c>
      <c r="CS2" s="1">
        <v>0</v>
      </c>
      <c r="CT2" s="1">
        <v>0</v>
      </c>
      <c r="CU2" s="1">
        <v>0</v>
      </c>
      <c r="CV2" s="1">
        <v>0</v>
      </c>
      <c r="CW2" s="1">
        <v>0</v>
      </c>
      <c r="CX2" s="1">
        <v>0</v>
      </c>
      <c r="CY2" s="1">
        <v>0</v>
      </c>
      <c r="CZ2" s="1">
        <v>0</v>
      </c>
      <c r="DA2" s="1">
        <v>0</v>
      </c>
      <c r="DB2" s="1">
        <v>0</v>
      </c>
      <c r="DC2" s="1">
        <v>0</v>
      </c>
      <c r="DD2" s="1">
        <v>0</v>
      </c>
      <c r="DE2" s="1">
        <v>0</v>
      </c>
      <c r="DF2" s="1">
        <v>0</v>
      </c>
      <c r="DG2" s="1">
        <v>0</v>
      </c>
      <c r="DH2" s="1">
        <v>0</v>
      </c>
      <c r="DI2" s="1">
        <v>0</v>
      </c>
      <c r="DJ2" s="1">
        <v>0</v>
      </c>
      <c r="DK2" s="1">
        <v>0</v>
      </c>
      <c r="DL2" s="1">
        <v>0</v>
      </c>
      <c r="DM2" s="1">
        <v>0</v>
      </c>
      <c r="DN2" s="1">
        <v>0</v>
      </c>
      <c r="DO2" s="1">
        <v>0</v>
      </c>
      <c r="DP2" s="1">
        <v>0</v>
      </c>
      <c r="DQ2" s="1">
        <v>0</v>
      </c>
      <c r="DR2" s="1">
        <v>0</v>
      </c>
      <c r="DS2" s="1">
        <v>0</v>
      </c>
      <c r="DT2" s="1">
        <v>0</v>
      </c>
      <c r="DU2" s="1">
        <v>0</v>
      </c>
      <c r="DV2" s="1">
        <v>0</v>
      </c>
      <c r="DW2" s="1">
        <v>0</v>
      </c>
      <c r="DX2" s="1">
        <v>0</v>
      </c>
      <c r="DY2" s="1">
        <v>0</v>
      </c>
      <c r="DZ2" s="1">
        <v>0</v>
      </c>
      <c r="EA2" s="1">
        <v>0</v>
      </c>
      <c r="EB2" s="1">
        <v>0</v>
      </c>
      <c r="EC2" s="1">
        <v>0</v>
      </c>
      <c r="ED2" s="1">
        <v>0</v>
      </c>
      <c r="EE2" s="1">
        <v>0</v>
      </c>
      <c r="EF2" s="1">
        <v>0</v>
      </c>
      <c r="EG2" s="1">
        <v>0</v>
      </c>
      <c r="EH2" s="1">
        <v>0</v>
      </c>
      <c r="EI2" s="1">
        <v>0</v>
      </c>
      <c r="EJ2" s="1">
        <v>0</v>
      </c>
      <c r="EK2" s="1">
        <v>0</v>
      </c>
      <c r="EL2" s="1">
        <v>0</v>
      </c>
      <c r="EM2" s="1">
        <v>0</v>
      </c>
      <c r="EN2" s="1">
        <v>0</v>
      </c>
      <c r="EO2" s="1">
        <v>0</v>
      </c>
      <c r="EP2" s="1">
        <v>0</v>
      </c>
      <c r="EQ2" s="1">
        <v>0</v>
      </c>
      <c r="ER2" s="1">
        <v>0</v>
      </c>
      <c r="ES2" s="1">
        <v>0</v>
      </c>
      <c r="ET2" s="1">
        <v>0</v>
      </c>
      <c r="EU2" s="1">
        <v>0</v>
      </c>
      <c r="EV2" s="1">
        <v>0</v>
      </c>
      <c r="EW2" s="1">
        <v>0</v>
      </c>
      <c r="EX2" s="1">
        <v>0</v>
      </c>
      <c r="EY2" s="1">
        <v>0</v>
      </c>
      <c r="EZ2" s="1">
        <v>0</v>
      </c>
      <c r="FA2" s="1">
        <v>0</v>
      </c>
      <c r="FB2" s="1">
        <v>0</v>
      </c>
      <c r="FC2" s="1">
        <v>0</v>
      </c>
      <c r="FD2" s="1">
        <v>0</v>
      </c>
      <c r="FE2" s="1">
        <v>0</v>
      </c>
      <c r="FF2" s="1">
        <v>0</v>
      </c>
      <c r="FG2" s="1">
        <v>0</v>
      </c>
      <c r="FH2" s="1">
        <v>0</v>
      </c>
      <c r="FI2" s="1">
        <v>0</v>
      </c>
      <c r="FJ2" s="1">
        <v>0</v>
      </c>
      <c r="FK2" s="1">
        <v>0</v>
      </c>
      <c r="FL2" s="1">
        <v>0</v>
      </c>
      <c r="FM2" s="1">
        <v>0</v>
      </c>
      <c r="FN2" s="1">
        <v>0</v>
      </c>
      <c r="FO2" s="1">
        <v>0</v>
      </c>
      <c r="FP2" s="1">
        <v>0</v>
      </c>
      <c r="FQ2" s="1">
        <v>0</v>
      </c>
      <c r="FR2" s="1">
        <v>0</v>
      </c>
      <c r="FS2" s="1">
        <v>0</v>
      </c>
      <c r="FT2" s="1">
        <v>0</v>
      </c>
      <c r="FU2" s="1">
        <v>0</v>
      </c>
      <c r="FV2" s="1">
        <v>0</v>
      </c>
      <c r="FW2" s="1">
        <v>0</v>
      </c>
      <c r="FX2" s="1">
        <v>0</v>
      </c>
      <c r="FY2" s="1">
        <v>0</v>
      </c>
      <c r="FZ2" s="1">
        <v>0</v>
      </c>
      <c r="GA2" s="1">
        <v>0</v>
      </c>
      <c r="GB2" s="1">
        <v>0</v>
      </c>
      <c r="GC2" s="1">
        <v>0</v>
      </c>
      <c r="GD2" s="1">
        <v>0</v>
      </c>
      <c r="GE2" s="1">
        <v>0</v>
      </c>
      <c r="GF2" s="1">
        <v>0</v>
      </c>
      <c r="GG2" s="1">
        <v>0</v>
      </c>
      <c r="GH2" s="1">
        <v>0</v>
      </c>
      <c r="GI2" s="1">
        <v>0</v>
      </c>
      <c r="GJ2" s="1">
        <v>0</v>
      </c>
      <c r="GK2" s="1">
        <v>0</v>
      </c>
      <c r="GL2" s="1">
        <v>0</v>
      </c>
      <c r="GM2" s="1">
        <v>0</v>
      </c>
      <c r="GN2" s="1">
        <v>0</v>
      </c>
      <c r="GO2" s="1">
        <v>0</v>
      </c>
      <c r="GP2" s="1">
        <v>0</v>
      </c>
      <c r="GQ2" s="1">
        <v>0</v>
      </c>
      <c r="GR2" s="1">
        <v>0</v>
      </c>
      <c r="GS2" s="1">
        <v>0</v>
      </c>
      <c r="GT2" s="1">
        <v>0</v>
      </c>
      <c r="GU2" s="1">
        <v>0</v>
      </c>
      <c r="GV2" s="1">
        <v>0</v>
      </c>
      <c r="GW2" s="1">
        <v>0</v>
      </c>
      <c r="GX2" s="1">
        <v>0</v>
      </c>
      <c r="GY2" s="1">
        <v>0</v>
      </c>
      <c r="GZ2" s="1">
        <v>0</v>
      </c>
      <c r="HA2" s="1">
        <v>0</v>
      </c>
      <c r="HB2" s="1">
        <v>0</v>
      </c>
      <c r="HC2" s="1">
        <v>0</v>
      </c>
      <c r="HD2" s="1">
        <v>0</v>
      </c>
      <c r="HE2" s="1">
        <v>0</v>
      </c>
      <c r="HF2" s="1">
        <v>0</v>
      </c>
      <c r="HG2" s="1">
        <v>0</v>
      </c>
      <c r="HH2" s="1">
        <v>0</v>
      </c>
      <c r="HI2" s="1">
        <v>0</v>
      </c>
      <c r="HJ2" s="1">
        <v>0</v>
      </c>
      <c r="HK2" s="1">
        <v>0</v>
      </c>
      <c r="HL2" s="1">
        <v>0</v>
      </c>
      <c r="HM2" s="1">
        <v>0</v>
      </c>
      <c r="HN2" s="1">
        <v>0</v>
      </c>
      <c r="HO2" s="1">
        <v>0</v>
      </c>
      <c r="HP2" s="1">
        <v>0</v>
      </c>
      <c r="HQ2" s="1">
        <v>0</v>
      </c>
      <c r="HR2" s="1">
        <v>0</v>
      </c>
      <c r="HS2" s="1">
        <v>0</v>
      </c>
      <c r="HT2" s="1">
        <v>0</v>
      </c>
      <c r="HU2" s="1">
        <v>0</v>
      </c>
      <c r="HV2" s="1">
        <v>0</v>
      </c>
      <c r="HW2" s="1">
        <v>0</v>
      </c>
      <c r="HX2" s="1">
        <v>0</v>
      </c>
      <c r="HY2" s="1">
        <v>0</v>
      </c>
      <c r="HZ2" s="1">
        <v>0</v>
      </c>
      <c r="IA2" s="1">
        <v>0</v>
      </c>
      <c r="IB2" s="1">
        <v>0</v>
      </c>
      <c r="IC2" s="1">
        <v>0</v>
      </c>
      <c r="ID2" s="1">
        <v>0</v>
      </c>
      <c r="IE2" s="1">
        <v>0</v>
      </c>
      <c r="IF2" s="1">
        <v>0</v>
      </c>
      <c r="IG2" s="1">
        <v>0</v>
      </c>
      <c r="IH2" s="1">
        <v>0</v>
      </c>
      <c r="II2" s="1">
        <v>0</v>
      </c>
      <c r="IJ2" s="1">
        <v>0</v>
      </c>
      <c r="IK2" s="1">
        <v>0</v>
      </c>
      <c r="IL2" s="1">
        <v>0</v>
      </c>
      <c r="IM2" s="1">
        <v>0</v>
      </c>
      <c r="IN2" s="1">
        <v>0</v>
      </c>
      <c r="IO2" s="1">
        <v>0</v>
      </c>
      <c r="IP2" s="1">
        <v>0</v>
      </c>
      <c r="IQ2" s="1">
        <v>0</v>
      </c>
      <c r="IR2" s="1">
        <v>0</v>
      </c>
      <c r="IS2" s="1">
        <v>0</v>
      </c>
      <c r="IT2" s="1">
        <v>0</v>
      </c>
      <c r="IU2" s="1">
        <v>0</v>
      </c>
      <c r="IV2" s="1">
        <v>0</v>
      </c>
      <c r="IW2" s="1">
        <v>0</v>
      </c>
      <c r="IX2" s="1">
        <v>0</v>
      </c>
      <c r="IY2" s="1">
        <v>0</v>
      </c>
      <c r="IZ2" s="1">
        <v>0</v>
      </c>
      <c r="JA2" s="1">
        <v>0</v>
      </c>
      <c r="JB2" s="1">
        <v>0</v>
      </c>
      <c r="JC2" s="1">
        <v>0</v>
      </c>
      <c r="JD2" s="1">
        <v>0</v>
      </c>
      <c r="JE2" s="1">
        <v>0</v>
      </c>
      <c r="JF2" s="1">
        <v>0</v>
      </c>
      <c r="JG2" s="1">
        <v>0</v>
      </c>
      <c r="JH2" s="1">
        <v>0</v>
      </c>
      <c r="JI2" s="1">
        <v>0</v>
      </c>
      <c r="JJ2" s="1">
        <v>0</v>
      </c>
      <c r="JK2" s="1">
        <v>0</v>
      </c>
      <c r="JL2" s="1">
        <v>0</v>
      </c>
      <c r="JM2" s="1">
        <v>0</v>
      </c>
      <c r="JN2" s="1">
        <v>0</v>
      </c>
      <c r="JO2" s="1">
        <v>0</v>
      </c>
      <c r="JP2" s="1">
        <v>0</v>
      </c>
      <c r="JQ2" s="1">
        <v>0</v>
      </c>
      <c r="JR2" s="1">
        <v>0</v>
      </c>
      <c r="JS2" s="1">
        <v>0</v>
      </c>
      <c r="JT2" s="1">
        <v>0</v>
      </c>
      <c r="JU2" s="1">
        <v>0</v>
      </c>
      <c r="JV2" s="1">
        <v>0</v>
      </c>
      <c r="JW2" s="1">
        <v>0</v>
      </c>
      <c r="JX2" s="1">
        <v>0</v>
      </c>
      <c r="JY2" s="1">
        <v>0</v>
      </c>
      <c r="JZ2" s="1">
        <v>0</v>
      </c>
      <c r="KA2" s="1">
        <v>0</v>
      </c>
      <c r="KB2" s="1">
        <v>0</v>
      </c>
      <c r="KC2" s="1">
        <v>0</v>
      </c>
    </row>
    <row r="3" spans="1:289" x14ac:dyDescent="0.15">
      <c r="A3">
        <v>11</v>
      </c>
      <c r="B3" s="1">
        <v>11.56</v>
      </c>
      <c r="C3" s="1">
        <v>98.98</v>
      </c>
      <c r="D3" s="1">
        <v>0</v>
      </c>
      <c r="E3" s="1">
        <v>0</v>
      </c>
      <c r="F3" s="1">
        <v>0</v>
      </c>
      <c r="G3" s="1">
        <v>0</v>
      </c>
      <c r="H3" s="1">
        <v>64.31</v>
      </c>
      <c r="I3" s="1">
        <v>0</v>
      </c>
      <c r="J3" s="1">
        <v>0</v>
      </c>
      <c r="K3" s="1">
        <v>0</v>
      </c>
      <c r="L3" s="1">
        <v>0</v>
      </c>
      <c r="M3" s="1">
        <v>47.55</v>
      </c>
      <c r="N3" s="1">
        <v>0</v>
      </c>
      <c r="O3" s="1">
        <v>0</v>
      </c>
      <c r="P3" s="1">
        <v>0</v>
      </c>
      <c r="Q3" s="1">
        <v>0</v>
      </c>
      <c r="R3" s="1">
        <v>36.58</v>
      </c>
      <c r="S3" s="1">
        <v>0</v>
      </c>
      <c r="T3" s="1">
        <v>0</v>
      </c>
      <c r="U3" s="1">
        <v>0</v>
      </c>
      <c r="V3" s="1">
        <v>0</v>
      </c>
      <c r="W3" s="1">
        <v>29.31</v>
      </c>
      <c r="X3" s="1">
        <v>0</v>
      </c>
      <c r="Y3" s="1">
        <v>0</v>
      </c>
      <c r="Z3" s="1">
        <v>0</v>
      </c>
      <c r="AA3" s="1">
        <v>0</v>
      </c>
      <c r="AB3" s="1">
        <v>24.16</v>
      </c>
      <c r="AC3" s="1">
        <v>0</v>
      </c>
      <c r="AD3" s="1">
        <v>0</v>
      </c>
      <c r="AE3" s="1">
        <v>0</v>
      </c>
      <c r="AF3" s="1">
        <v>0</v>
      </c>
      <c r="AG3" s="1">
        <v>20.38</v>
      </c>
      <c r="AH3" s="1">
        <v>0</v>
      </c>
      <c r="AI3" s="1">
        <v>0</v>
      </c>
      <c r="AJ3" s="1">
        <v>0</v>
      </c>
      <c r="AK3" s="1">
        <v>0</v>
      </c>
      <c r="AL3" s="1">
        <v>17.57</v>
      </c>
      <c r="AM3" s="1">
        <v>0</v>
      </c>
      <c r="AN3" s="1">
        <v>0</v>
      </c>
      <c r="AO3" s="1">
        <v>0</v>
      </c>
      <c r="AP3" s="1">
        <v>0</v>
      </c>
      <c r="AQ3" s="1">
        <v>15.48</v>
      </c>
      <c r="AR3" s="1">
        <v>0</v>
      </c>
      <c r="AS3" s="1">
        <v>0</v>
      </c>
      <c r="AT3" s="1">
        <v>0</v>
      </c>
      <c r="AU3" s="1">
        <v>0</v>
      </c>
      <c r="AV3" s="1">
        <v>0</v>
      </c>
      <c r="AW3" s="1">
        <v>0</v>
      </c>
      <c r="AX3" s="1">
        <v>0</v>
      </c>
      <c r="AY3" s="1">
        <v>0</v>
      </c>
      <c r="AZ3" s="1">
        <v>0</v>
      </c>
      <c r="BA3" s="1">
        <v>0</v>
      </c>
      <c r="BB3" s="1">
        <v>0</v>
      </c>
      <c r="BC3" s="1">
        <v>0</v>
      </c>
      <c r="BD3" s="1">
        <v>0</v>
      </c>
      <c r="BE3" s="1">
        <v>0</v>
      </c>
      <c r="BF3" s="1">
        <v>0</v>
      </c>
      <c r="BG3" s="1">
        <v>0</v>
      </c>
      <c r="BH3" s="1">
        <v>0</v>
      </c>
      <c r="BI3" s="1">
        <v>0</v>
      </c>
      <c r="BJ3" s="1">
        <v>0</v>
      </c>
      <c r="BK3" s="1">
        <v>0</v>
      </c>
      <c r="BL3" s="1">
        <v>0</v>
      </c>
      <c r="BM3" s="1">
        <v>0</v>
      </c>
      <c r="BN3" s="1">
        <v>0</v>
      </c>
      <c r="BO3" s="1">
        <v>0</v>
      </c>
      <c r="BP3" s="1">
        <v>0</v>
      </c>
      <c r="BQ3" s="1">
        <v>0</v>
      </c>
      <c r="BR3" s="1">
        <v>0</v>
      </c>
      <c r="BS3" s="1">
        <v>0</v>
      </c>
      <c r="BT3" s="1">
        <v>0</v>
      </c>
      <c r="BU3" s="1">
        <v>0</v>
      </c>
      <c r="BV3" s="1">
        <v>0</v>
      </c>
      <c r="BW3" s="1">
        <v>0</v>
      </c>
      <c r="BX3" s="1">
        <v>0</v>
      </c>
      <c r="BY3" s="1">
        <v>0</v>
      </c>
      <c r="BZ3" s="1">
        <v>0</v>
      </c>
      <c r="CA3" s="1">
        <v>0</v>
      </c>
      <c r="CB3" s="1">
        <v>0</v>
      </c>
      <c r="CC3" s="1">
        <v>0</v>
      </c>
      <c r="CD3" s="1">
        <v>0</v>
      </c>
      <c r="CE3" s="1">
        <v>0</v>
      </c>
      <c r="CF3" s="1">
        <v>0</v>
      </c>
      <c r="CG3" s="1">
        <v>0</v>
      </c>
      <c r="CH3" s="1">
        <v>0</v>
      </c>
      <c r="CI3" s="1">
        <v>0</v>
      </c>
      <c r="CJ3" s="1">
        <v>0</v>
      </c>
      <c r="CK3" s="1">
        <v>0</v>
      </c>
      <c r="CL3" s="1">
        <v>0</v>
      </c>
      <c r="CM3" s="1">
        <v>0</v>
      </c>
      <c r="CN3" s="1">
        <v>0</v>
      </c>
      <c r="CO3" s="1">
        <v>0</v>
      </c>
      <c r="CP3" s="1">
        <v>0</v>
      </c>
      <c r="CQ3" s="1">
        <v>0</v>
      </c>
      <c r="CR3" s="1">
        <v>0</v>
      </c>
      <c r="CS3" s="1">
        <v>0</v>
      </c>
      <c r="CT3" s="1">
        <v>0</v>
      </c>
      <c r="CU3" s="1">
        <v>0</v>
      </c>
      <c r="CV3" s="1">
        <v>0</v>
      </c>
      <c r="CW3" s="1">
        <v>0</v>
      </c>
      <c r="CX3" s="1">
        <v>0</v>
      </c>
      <c r="CY3" s="1">
        <v>0</v>
      </c>
      <c r="CZ3" s="1">
        <v>0</v>
      </c>
      <c r="DA3" s="1">
        <v>0</v>
      </c>
      <c r="DB3" s="1">
        <v>0</v>
      </c>
      <c r="DC3" s="1">
        <v>0</v>
      </c>
      <c r="DD3" s="1">
        <v>0</v>
      </c>
      <c r="DE3" s="1">
        <v>0</v>
      </c>
      <c r="DF3" s="1">
        <v>0</v>
      </c>
      <c r="DG3" s="1">
        <v>0</v>
      </c>
      <c r="DH3" s="1">
        <v>0</v>
      </c>
      <c r="DI3" s="1">
        <v>0</v>
      </c>
      <c r="DJ3" s="1">
        <v>0</v>
      </c>
      <c r="DK3" s="1">
        <v>0</v>
      </c>
      <c r="DL3" s="1">
        <v>0</v>
      </c>
      <c r="DM3" s="1">
        <v>0</v>
      </c>
      <c r="DN3" s="1">
        <v>0</v>
      </c>
      <c r="DO3" s="1">
        <v>0</v>
      </c>
      <c r="DP3" s="1">
        <v>0</v>
      </c>
      <c r="DQ3" s="1">
        <v>0</v>
      </c>
      <c r="DR3" s="1">
        <v>0</v>
      </c>
      <c r="DS3" s="1">
        <v>0</v>
      </c>
      <c r="DT3" s="1">
        <v>0</v>
      </c>
      <c r="DU3" s="1">
        <v>0</v>
      </c>
      <c r="DV3" s="1">
        <v>0</v>
      </c>
      <c r="DW3" s="1">
        <v>0</v>
      </c>
      <c r="DX3" s="1">
        <v>0</v>
      </c>
      <c r="DY3" s="1">
        <v>0</v>
      </c>
      <c r="DZ3" s="1">
        <v>0</v>
      </c>
      <c r="EA3" s="1">
        <v>0</v>
      </c>
      <c r="EB3" s="1">
        <v>0</v>
      </c>
      <c r="EC3" s="1">
        <v>0</v>
      </c>
      <c r="ED3" s="1">
        <v>0</v>
      </c>
      <c r="EE3" s="1">
        <v>0</v>
      </c>
      <c r="EF3" s="1">
        <v>0</v>
      </c>
      <c r="EG3" s="1">
        <v>0</v>
      </c>
      <c r="EH3" s="1">
        <v>0</v>
      </c>
      <c r="EI3" s="1">
        <v>0</v>
      </c>
      <c r="EJ3" s="1">
        <v>0</v>
      </c>
      <c r="EK3" s="1">
        <v>0</v>
      </c>
      <c r="EL3" s="1">
        <v>0</v>
      </c>
      <c r="EM3" s="1">
        <v>0</v>
      </c>
      <c r="EN3" s="1">
        <v>0</v>
      </c>
      <c r="EO3" s="1">
        <v>0</v>
      </c>
      <c r="EP3" s="1">
        <v>0</v>
      </c>
      <c r="EQ3" s="1">
        <v>0</v>
      </c>
      <c r="ER3" s="1">
        <v>0</v>
      </c>
      <c r="ES3" s="1">
        <v>0</v>
      </c>
      <c r="ET3" s="1">
        <v>0</v>
      </c>
      <c r="EU3" s="1">
        <v>0</v>
      </c>
      <c r="EV3" s="1">
        <v>0</v>
      </c>
      <c r="EW3" s="1">
        <v>0</v>
      </c>
      <c r="EX3" s="1">
        <v>0</v>
      </c>
      <c r="EY3" s="1">
        <v>0</v>
      </c>
      <c r="EZ3" s="1">
        <v>0</v>
      </c>
      <c r="FA3" s="1">
        <v>0</v>
      </c>
      <c r="FB3" s="1">
        <v>0</v>
      </c>
      <c r="FC3" s="1">
        <v>0</v>
      </c>
      <c r="FD3" s="1">
        <v>0</v>
      </c>
      <c r="FE3" s="1">
        <v>0</v>
      </c>
      <c r="FF3" s="1">
        <v>0</v>
      </c>
      <c r="FG3" s="1">
        <v>0</v>
      </c>
      <c r="FH3" s="1">
        <v>0</v>
      </c>
      <c r="FI3" s="1">
        <v>0</v>
      </c>
      <c r="FJ3" s="1">
        <v>0</v>
      </c>
      <c r="FK3" s="1">
        <v>0</v>
      </c>
      <c r="FL3" s="1">
        <v>0</v>
      </c>
      <c r="FM3" s="1">
        <v>0</v>
      </c>
      <c r="FN3" s="1">
        <v>0</v>
      </c>
      <c r="FO3" s="1">
        <v>0</v>
      </c>
      <c r="FP3" s="1">
        <v>0</v>
      </c>
      <c r="FQ3" s="1">
        <v>0</v>
      </c>
      <c r="FR3" s="1">
        <v>0</v>
      </c>
      <c r="FS3" s="1">
        <v>0</v>
      </c>
      <c r="FT3" s="1">
        <v>0</v>
      </c>
      <c r="FU3" s="1">
        <v>0</v>
      </c>
      <c r="FV3" s="1">
        <v>0</v>
      </c>
      <c r="FW3" s="1">
        <v>0</v>
      </c>
      <c r="FX3" s="1">
        <v>0</v>
      </c>
      <c r="FY3" s="1">
        <v>0</v>
      </c>
      <c r="FZ3" s="1">
        <v>0</v>
      </c>
      <c r="GA3" s="1">
        <v>0</v>
      </c>
      <c r="GB3" s="1">
        <v>0</v>
      </c>
      <c r="GC3" s="1">
        <v>0</v>
      </c>
      <c r="GD3" s="1">
        <v>0</v>
      </c>
      <c r="GE3" s="1">
        <v>0</v>
      </c>
      <c r="GF3" s="1">
        <v>0</v>
      </c>
      <c r="GG3" s="1">
        <v>0</v>
      </c>
      <c r="GH3" s="1">
        <v>0</v>
      </c>
      <c r="GI3" s="1">
        <v>0</v>
      </c>
      <c r="GJ3" s="1">
        <v>0</v>
      </c>
      <c r="GK3" s="1">
        <v>0</v>
      </c>
      <c r="GL3" s="1">
        <v>0</v>
      </c>
      <c r="GM3" s="1">
        <v>0</v>
      </c>
      <c r="GN3" s="1">
        <v>0</v>
      </c>
      <c r="GO3" s="1">
        <v>0</v>
      </c>
      <c r="GP3" s="1">
        <v>0</v>
      </c>
      <c r="GQ3" s="1">
        <v>0</v>
      </c>
      <c r="GR3" s="1">
        <v>0</v>
      </c>
      <c r="GS3" s="1">
        <v>0</v>
      </c>
      <c r="GT3" s="1">
        <v>0</v>
      </c>
      <c r="GU3" s="1">
        <v>0</v>
      </c>
      <c r="GV3" s="1">
        <v>0</v>
      </c>
      <c r="GW3" s="1">
        <v>0</v>
      </c>
      <c r="GX3" s="1">
        <v>0</v>
      </c>
      <c r="GY3" s="1">
        <v>0</v>
      </c>
      <c r="GZ3" s="1">
        <v>0</v>
      </c>
      <c r="HA3" s="1">
        <v>0</v>
      </c>
      <c r="HB3" s="1">
        <v>0</v>
      </c>
      <c r="HC3" s="1">
        <v>0</v>
      </c>
      <c r="HD3" s="1">
        <v>0</v>
      </c>
      <c r="HE3" s="1">
        <v>0</v>
      </c>
      <c r="HF3" s="1">
        <v>0</v>
      </c>
      <c r="HG3" s="1">
        <v>0</v>
      </c>
      <c r="HH3" s="1">
        <v>0</v>
      </c>
      <c r="HI3" s="1">
        <v>0</v>
      </c>
      <c r="HJ3" s="1">
        <v>0</v>
      </c>
      <c r="HK3" s="1">
        <v>0</v>
      </c>
      <c r="HL3" s="1">
        <v>0</v>
      </c>
      <c r="HM3" s="1">
        <v>0</v>
      </c>
      <c r="HN3" s="1">
        <v>0</v>
      </c>
      <c r="HO3" s="1">
        <v>0</v>
      </c>
      <c r="HP3" s="1">
        <v>0</v>
      </c>
      <c r="HQ3" s="1">
        <v>0</v>
      </c>
      <c r="HR3" s="1">
        <v>0</v>
      </c>
      <c r="HS3" s="1">
        <v>0</v>
      </c>
      <c r="HT3" s="1">
        <v>0</v>
      </c>
      <c r="HU3" s="1">
        <v>0</v>
      </c>
      <c r="HV3" s="1">
        <v>0</v>
      </c>
      <c r="HW3" s="1">
        <v>0</v>
      </c>
      <c r="HX3" s="1">
        <v>0</v>
      </c>
      <c r="HY3" s="1">
        <v>0</v>
      </c>
      <c r="HZ3" s="1">
        <v>0</v>
      </c>
      <c r="IA3" s="1">
        <v>0</v>
      </c>
      <c r="IB3" s="1">
        <v>0</v>
      </c>
      <c r="IC3" s="1">
        <v>0</v>
      </c>
      <c r="ID3" s="1">
        <v>0</v>
      </c>
      <c r="IE3" s="1">
        <v>0</v>
      </c>
      <c r="IF3" s="1">
        <v>0</v>
      </c>
      <c r="IG3" s="1">
        <v>0</v>
      </c>
      <c r="IH3" s="1">
        <v>0</v>
      </c>
      <c r="II3" s="1">
        <v>0</v>
      </c>
      <c r="IJ3" s="1">
        <v>0</v>
      </c>
      <c r="IK3" s="1">
        <v>0</v>
      </c>
      <c r="IL3" s="1">
        <v>0</v>
      </c>
      <c r="IM3" s="1">
        <v>0</v>
      </c>
      <c r="IN3" s="1">
        <v>0</v>
      </c>
      <c r="IO3" s="1">
        <v>0</v>
      </c>
      <c r="IP3" s="1">
        <v>0</v>
      </c>
      <c r="IQ3" s="1">
        <v>0</v>
      </c>
      <c r="IR3" s="1">
        <v>0</v>
      </c>
      <c r="IS3" s="1">
        <v>0</v>
      </c>
      <c r="IT3" s="1">
        <v>0</v>
      </c>
      <c r="IU3" s="1">
        <v>0</v>
      </c>
      <c r="IV3" s="1">
        <v>0</v>
      </c>
      <c r="IW3" s="1">
        <v>0</v>
      </c>
      <c r="IX3" s="1">
        <v>0</v>
      </c>
      <c r="IY3" s="1">
        <v>0</v>
      </c>
      <c r="IZ3" s="1">
        <v>0</v>
      </c>
      <c r="JA3" s="1">
        <v>0</v>
      </c>
      <c r="JB3" s="1">
        <v>0</v>
      </c>
      <c r="JC3" s="1">
        <v>0</v>
      </c>
      <c r="JD3" s="1">
        <v>0</v>
      </c>
      <c r="JE3" s="1">
        <v>0</v>
      </c>
      <c r="JF3" s="1">
        <v>0</v>
      </c>
      <c r="JG3" s="1">
        <v>0</v>
      </c>
      <c r="JH3" s="1">
        <v>0</v>
      </c>
      <c r="JI3" s="1">
        <v>0</v>
      </c>
      <c r="JJ3" s="1">
        <v>0</v>
      </c>
      <c r="JK3" s="1">
        <v>0</v>
      </c>
      <c r="JL3" s="1">
        <v>0</v>
      </c>
      <c r="JM3" s="1">
        <v>0</v>
      </c>
      <c r="JN3" s="1">
        <v>0</v>
      </c>
      <c r="JO3" s="1">
        <v>0</v>
      </c>
      <c r="JP3" s="1">
        <v>0</v>
      </c>
      <c r="JQ3" s="1">
        <v>0</v>
      </c>
      <c r="JR3" s="1">
        <v>0</v>
      </c>
      <c r="JS3" s="1">
        <v>0</v>
      </c>
      <c r="JT3" s="1">
        <v>0</v>
      </c>
      <c r="JU3" s="1">
        <v>0</v>
      </c>
      <c r="JV3" s="1">
        <v>0</v>
      </c>
      <c r="JW3" s="1">
        <v>0</v>
      </c>
      <c r="JX3" s="1">
        <v>0</v>
      </c>
      <c r="JY3" s="1">
        <v>0</v>
      </c>
      <c r="JZ3" s="1">
        <v>0</v>
      </c>
      <c r="KA3" s="1">
        <v>0</v>
      </c>
      <c r="KB3" s="1">
        <v>0</v>
      </c>
      <c r="KC3" s="1">
        <v>0</v>
      </c>
    </row>
    <row r="4" spans="1:289" x14ac:dyDescent="0.15">
      <c r="A4">
        <v>12</v>
      </c>
      <c r="B4" s="1">
        <v>11.87</v>
      </c>
      <c r="C4" s="1">
        <v>98.98</v>
      </c>
      <c r="D4" s="1">
        <v>0</v>
      </c>
      <c r="E4" s="1">
        <v>0</v>
      </c>
      <c r="F4" s="1">
        <v>0</v>
      </c>
      <c r="G4" s="1">
        <v>0</v>
      </c>
      <c r="H4" s="1">
        <v>64.319999999999993</v>
      </c>
      <c r="I4" s="1">
        <v>0</v>
      </c>
      <c r="J4" s="1">
        <v>0</v>
      </c>
      <c r="K4" s="1">
        <v>0</v>
      </c>
      <c r="L4" s="1">
        <v>0</v>
      </c>
      <c r="M4" s="1">
        <v>47.55</v>
      </c>
      <c r="N4" s="1">
        <v>0</v>
      </c>
      <c r="O4" s="1">
        <v>0</v>
      </c>
      <c r="P4" s="1">
        <v>0</v>
      </c>
      <c r="Q4" s="1">
        <v>0</v>
      </c>
      <c r="R4" s="1">
        <v>36.6</v>
      </c>
      <c r="S4" s="1">
        <v>0</v>
      </c>
      <c r="T4" s="1">
        <v>0</v>
      </c>
      <c r="U4" s="1">
        <v>0</v>
      </c>
      <c r="V4" s="1">
        <v>0</v>
      </c>
      <c r="W4" s="1">
        <v>29.33</v>
      </c>
      <c r="X4" s="1">
        <v>0</v>
      </c>
      <c r="Y4" s="1">
        <v>0</v>
      </c>
      <c r="Z4" s="1">
        <v>0</v>
      </c>
      <c r="AA4" s="1">
        <v>0</v>
      </c>
      <c r="AB4" s="1">
        <v>24.19</v>
      </c>
      <c r="AC4" s="1">
        <v>0</v>
      </c>
      <c r="AD4" s="1">
        <v>0</v>
      </c>
      <c r="AE4" s="1">
        <v>0</v>
      </c>
      <c r="AF4" s="1">
        <v>0</v>
      </c>
      <c r="AG4" s="1">
        <v>20.43</v>
      </c>
      <c r="AH4" s="1">
        <v>0</v>
      </c>
      <c r="AI4" s="1">
        <v>0</v>
      </c>
      <c r="AJ4" s="1">
        <v>0</v>
      </c>
      <c r="AK4" s="1">
        <v>0</v>
      </c>
      <c r="AL4" s="1">
        <v>17.64</v>
      </c>
      <c r="AM4" s="1">
        <v>0</v>
      </c>
      <c r="AN4" s="1">
        <v>0</v>
      </c>
      <c r="AO4" s="1">
        <v>0</v>
      </c>
      <c r="AP4" s="1">
        <v>0</v>
      </c>
      <c r="AQ4" s="1">
        <v>15.58</v>
      </c>
      <c r="AR4" s="1">
        <v>0</v>
      </c>
      <c r="AS4" s="1">
        <v>0</v>
      </c>
      <c r="AT4" s="1">
        <v>0</v>
      </c>
      <c r="AU4" s="1">
        <v>0</v>
      </c>
      <c r="AV4" s="1">
        <v>0</v>
      </c>
      <c r="AW4" s="1">
        <v>0</v>
      </c>
      <c r="AX4" s="1">
        <v>0</v>
      </c>
      <c r="AY4" s="1">
        <v>0</v>
      </c>
      <c r="AZ4" s="1">
        <v>0</v>
      </c>
      <c r="BA4" s="1">
        <v>0</v>
      </c>
      <c r="BB4" s="1">
        <v>0</v>
      </c>
      <c r="BC4" s="1">
        <v>0</v>
      </c>
      <c r="BD4" s="1">
        <v>0</v>
      </c>
      <c r="BE4" s="1">
        <v>0</v>
      </c>
      <c r="BF4" s="1">
        <v>0</v>
      </c>
      <c r="BG4" s="1">
        <v>0</v>
      </c>
      <c r="BH4" s="1">
        <v>0</v>
      </c>
      <c r="BI4" s="1">
        <v>0</v>
      </c>
      <c r="BJ4" s="1">
        <v>0</v>
      </c>
      <c r="BK4" s="1">
        <v>0</v>
      </c>
      <c r="BL4" s="1">
        <v>0</v>
      </c>
      <c r="BM4" s="1">
        <v>0</v>
      </c>
      <c r="BN4" s="1">
        <v>0</v>
      </c>
      <c r="BO4" s="1">
        <v>0</v>
      </c>
      <c r="BP4" s="1">
        <v>0</v>
      </c>
      <c r="BQ4" s="1">
        <v>0</v>
      </c>
      <c r="BR4" s="1">
        <v>0</v>
      </c>
      <c r="BS4" s="1">
        <v>0</v>
      </c>
      <c r="BT4" s="1">
        <v>0</v>
      </c>
      <c r="BU4" s="1">
        <v>0</v>
      </c>
      <c r="BV4" s="1">
        <v>0</v>
      </c>
      <c r="BW4" s="1">
        <v>0</v>
      </c>
      <c r="BX4" s="1">
        <v>0</v>
      </c>
      <c r="BY4" s="1">
        <v>0</v>
      </c>
      <c r="BZ4" s="1">
        <v>0</v>
      </c>
      <c r="CA4" s="1">
        <v>0</v>
      </c>
      <c r="CB4" s="1">
        <v>0</v>
      </c>
      <c r="CC4" s="1">
        <v>0</v>
      </c>
      <c r="CD4" s="1">
        <v>0</v>
      </c>
      <c r="CE4" s="1">
        <v>0</v>
      </c>
      <c r="CF4" s="1">
        <v>0</v>
      </c>
      <c r="CG4" s="1">
        <v>0</v>
      </c>
      <c r="CH4" s="1">
        <v>0</v>
      </c>
      <c r="CI4" s="1">
        <v>0</v>
      </c>
      <c r="CJ4" s="1">
        <v>0</v>
      </c>
      <c r="CK4" s="1">
        <v>0</v>
      </c>
      <c r="CL4" s="1">
        <v>0</v>
      </c>
      <c r="CM4" s="1">
        <v>0</v>
      </c>
      <c r="CN4" s="1">
        <v>0</v>
      </c>
      <c r="CO4" s="1">
        <v>0</v>
      </c>
      <c r="CP4" s="1">
        <v>0</v>
      </c>
      <c r="CQ4" s="1">
        <v>0</v>
      </c>
      <c r="CR4" s="1">
        <v>0</v>
      </c>
      <c r="CS4" s="1">
        <v>0</v>
      </c>
      <c r="CT4" s="1">
        <v>0</v>
      </c>
      <c r="CU4" s="1">
        <v>0</v>
      </c>
      <c r="CV4" s="1">
        <v>0</v>
      </c>
      <c r="CW4" s="1">
        <v>0</v>
      </c>
      <c r="CX4" s="1">
        <v>0</v>
      </c>
      <c r="CY4" s="1">
        <v>0</v>
      </c>
      <c r="CZ4" s="1">
        <v>0</v>
      </c>
      <c r="DA4" s="1">
        <v>0</v>
      </c>
      <c r="DB4" s="1">
        <v>0</v>
      </c>
      <c r="DC4" s="1">
        <v>0</v>
      </c>
      <c r="DD4" s="1">
        <v>0</v>
      </c>
      <c r="DE4" s="1">
        <v>0</v>
      </c>
      <c r="DF4" s="1">
        <v>0</v>
      </c>
      <c r="DG4" s="1">
        <v>0</v>
      </c>
      <c r="DH4" s="1">
        <v>0</v>
      </c>
      <c r="DI4" s="1">
        <v>0</v>
      </c>
      <c r="DJ4" s="1">
        <v>0</v>
      </c>
      <c r="DK4" s="1">
        <v>0</v>
      </c>
      <c r="DL4" s="1">
        <v>0</v>
      </c>
      <c r="DM4" s="1">
        <v>0</v>
      </c>
      <c r="DN4" s="1">
        <v>0</v>
      </c>
      <c r="DO4" s="1">
        <v>0</v>
      </c>
      <c r="DP4" s="1">
        <v>0</v>
      </c>
      <c r="DQ4" s="1">
        <v>0</v>
      </c>
      <c r="DR4" s="1">
        <v>0</v>
      </c>
      <c r="DS4" s="1">
        <v>0</v>
      </c>
      <c r="DT4" s="1">
        <v>0</v>
      </c>
      <c r="DU4" s="1">
        <v>0</v>
      </c>
      <c r="DV4" s="1">
        <v>0</v>
      </c>
      <c r="DW4" s="1">
        <v>0</v>
      </c>
      <c r="DX4" s="1">
        <v>0</v>
      </c>
      <c r="DY4" s="1">
        <v>0</v>
      </c>
      <c r="DZ4" s="1">
        <v>0</v>
      </c>
      <c r="EA4" s="1">
        <v>0</v>
      </c>
      <c r="EB4" s="1">
        <v>0</v>
      </c>
      <c r="EC4" s="1">
        <v>0</v>
      </c>
      <c r="ED4" s="1">
        <v>0</v>
      </c>
      <c r="EE4" s="1">
        <v>0</v>
      </c>
      <c r="EF4" s="1">
        <v>0</v>
      </c>
      <c r="EG4" s="1">
        <v>0</v>
      </c>
      <c r="EH4" s="1">
        <v>0</v>
      </c>
      <c r="EI4" s="1">
        <v>0</v>
      </c>
      <c r="EJ4" s="1">
        <v>0</v>
      </c>
      <c r="EK4" s="1">
        <v>0</v>
      </c>
      <c r="EL4" s="1">
        <v>0</v>
      </c>
      <c r="EM4" s="1">
        <v>0</v>
      </c>
      <c r="EN4" s="1">
        <v>0</v>
      </c>
      <c r="EO4" s="1">
        <v>0</v>
      </c>
      <c r="EP4" s="1">
        <v>0</v>
      </c>
      <c r="EQ4" s="1">
        <v>0</v>
      </c>
      <c r="ER4" s="1">
        <v>0</v>
      </c>
      <c r="ES4" s="1">
        <v>0</v>
      </c>
      <c r="ET4" s="1">
        <v>0</v>
      </c>
      <c r="EU4" s="1">
        <v>0</v>
      </c>
      <c r="EV4" s="1">
        <v>0</v>
      </c>
      <c r="EW4" s="1">
        <v>0</v>
      </c>
      <c r="EX4" s="1">
        <v>0</v>
      </c>
      <c r="EY4" s="1">
        <v>0</v>
      </c>
      <c r="EZ4" s="1">
        <v>0</v>
      </c>
      <c r="FA4" s="1">
        <v>0</v>
      </c>
      <c r="FB4" s="1">
        <v>0</v>
      </c>
      <c r="FC4" s="1">
        <v>0</v>
      </c>
      <c r="FD4" s="1">
        <v>0</v>
      </c>
      <c r="FE4" s="1">
        <v>0</v>
      </c>
      <c r="FF4" s="1">
        <v>0</v>
      </c>
      <c r="FG4" s="1">
        <v>0</v>
      </c>
      <c r="FH4" s="1">
        <v>0</v>
      </c>
      <c r="FI4" s="1">
        <v>0</v>
      </c>
      <c r="FJ4" s="1">
        <v>0</v>
      </c>
      <c r="FK4" s="1">
        <v>0</v>
      </c>
      <c r="FL4" s="1">
        <v>0</v>
      </c>
      <c r="FM4" s="1">
        <v>0</v>
      </c>
      <c r="FN4" s="1">
        <v>0</v>
      </c>
      <c r="FO4" s="1">
        <v>0</v>
      </c>
      <c r="FP4" s="1">
        <v>0</v>
      </c>
      <c r="FQ4" s="1">
        <v>0</v>
      </c>
      <c r="FR4" s="1">
        <v>0</v>
      </c>
      <c r="FS4" s="1">
        <v>0</v>
      </c>
      <c r="FT4" s="1">
        <v>0</v>
      </c>
      <c r="FU4" s="1">
        <v>0</v>
      </c>
      <c r="FV4" s="1">
        <v>0</v>
      </c>
      <c r="FW4" s="1">
        <v>0</v>
      </c>
      <c r="FX4" s="1">
        <v>0</v>
      </c>
      <c r="FY4" s="1">
        <v>0</v>
      </c>
      <c r="FZ4" s="1">
        <v>0</v>
      </c>
      <c r="GA4" s="1">
        <v>0</v>
      </c>
      <c r="GB4" s="1">
        <v>0</v>
      </c>
      <c r="GC4" s="1">
        <v>0</v>
      </c>
      <c r="GD4" s="1">
        <v>0</v>
      </c>
      <c r="GE4" s="1">
        <v>0</v>
      </c>
      <c r="GF4" s="1">
        <v>0</v>
      </c>
      <c r="GG4" s="1">
        <v>0</v>
      </c>
      <c r="GH4" s="1">
        <v>0</v>
      </c>
      <c r="GI4" s="1">
        <v>0</v>
      </c>
      <c r="GJ4" s="1">
        <v>0</v>
      </c>
      <c r="GK4" s="1">
        <v>0</v>
      </c>
      <c r="GL4" s="1">
        <v>0</v>
      </c>
      <c r="GM4" s="1">
        <v>0</v>
      </c>
      <c r="GN4" s="1">
        <v>0</v>
      </c>
      <c r="GO4" s="1">
        <v>0</v>
      </c>
      <c r="GP4" s="1">
        <v>0</v>
      </c>
      <c r="GQ4" s="1">
        <v>0</v>
      </c>
      <c r="GR4" s="1">
        <v>0</v>
      </c>
      <c r="GS4" s="1">
        <v>0</v>
      </c>
      <c r="GT4" s="1">
        <v>0</v>
      </c>
      <c r="GU4" s="1">
        <v>0</v>
      </c>
      <c r="GV4" s="1">
        <v>0</v>
      </c>
      <c r="GW4" s="1">
        <v>0</v>
      </c>
      <c r="GX4" s="1">
        <v>0</v>
      </c>
      <c r="GY4" s="1">
        <v>0</v>
      </c>
      <c r="GZ4" s="1">
        <v>0</v>
      </c>
      <c r="HA4" s="1">
        <v>0</v>
      </c>
      <c r="HB4" s="1">
        <v>0</v>
      </c>
      <c r="HC4" s="1">
        <v>0</v>
      </c>
      <c r="HD4" s="1">
        <v>0</v>
      </c>
      <c r="HE4" s="1">
        <v>0</v>
      </c>
      <c r="HF4" s="1">
        <v>0</v>
      </c>
      <c r="HG4" s="1">
        <v>0</v>
      </c>
      <c r="HH4" s="1">
        <v>0</v>
      </c>
      <c r="HI4" s="1">
        <v>0</v>
      </c>
      <c r="HJ4" s="1">
        <v>0</v>
      </c>
      <c r="HK4" s="1">
        <v>0</v>
      </c>
      <c r="HL4" s="1">
        <v>0</v>
      </c>
      <c r="HM4" s="1">
        <v>0</v>
      </c>
      <c r="HN4" s="1">
        <v>0</v>
      </c>
      <c r="HO4" s="1">
        <v>0</v>
      </c>
      <c r="HP4" s="1">
        <v>0</v>
      </c>
      <c r="HQ4" s="1">
        <v>0</v>
      </c>
      <c r="HR4" s="1">
        <v>0</v>
      </c>
      <c r="HS4" s="1">
        <v>0</v>
      </c>
      <c r="HT4" s="1">
        <v>0</v>
      </c>
      <c r="HU4" s="1">
        <v>0</v>
      </c>
      <c r="HV4" s="1">
        <v>0</v>
      </c>
      <c r="HW4" s="1">
        <v>0</v>
      </c>
      <c r="HX4" s="1">
        <v>0</v>
      </c>
      <c r="HY4" s="1">
        <v>0</v>
      </c>
      <c r="HZ4" s="1">
        <v>0</v>
      </c>
      <c r="IA4" s="1">
        <v>0</v>
      </c>
      <c r="IB4" s="1">
        <v>0</v>
      </c>
      <c r="IC4" s="1">
        <v>0</v>
      </c>
      <c r="ID4" s="1">
        <v>0</v>
      </c>
      <c r="IE4" s="1">
        <v>0</v>
      </c>
      <c r="IF4" s="1">
        <v>0</v>
      </c>
      <c r="IG4" s="1">
        <v>0</v>
      </c>
      <c r="IH4" s="1">
        <v>0</v>
      </c>
      <c r="II4" s="1">
        <v>0</v>
      </c>
      <c r="IJ4" s="1">
        <v>0</v>
      </c>
      <c r="IK4" s="1">
        <v>0</v>
      </c>
      <c r="IL4" s="1">
        <v>0</v>
      </c>
      <c r="IM4" s="1">
        <v>0</v>
      </c>
      <c r="IN4" s="1">
        <v>0</v>
      </c>
      <c r="IO4" s="1">
        <v>0</v>
      </c>
      <c r="IP4" s="1">
        <v>0</v>
      </c>
      <c r="IQ4" s="1">
        <v>0</v>
      </c>
      <c r="IR4" s="1">
        <v>0</v>
      </c>
      <c r="IS4" s="1">
        <v>0</v>
      </c>
      <c r="IT4" s="1">
        <v>0</v>
      </c>
      <c r="IU4" s="1">
        <v>0</v>
      </c>
      <c r="IV4" s="1">
        <v>0</v>
      </c>
      <c r="IW4" s="1">
        <v>0</v>
      </c>
      <c r="IX4" s="1">
        <v>0</v>
      </c>
      <c r="IY4" s="1">
        <v>0</v>
      </c>
      <c r="IZ4" s="1">
        <v>0</v>
      </c>
      <c r="JA4" s="1">
        <v>0</v>
      </c>
      <c r="JB4" s="1">
        <v>0</v>
      </c>
      <c r="JC4" s="1">
        <v>0</v>
      </c>
      <c r="JD4" s="1">
        <v>0</v>
      </c>
      <c r="JE4" s="1">
        <v>0</v>
      </c>
      <c r="JF4" s="1">
        <v>0</v>
      </c>
      <c r="JG4" s="1">
        <v>0</v>
      </c>
      <c r="JH4" s="1">
        <v>0</v>
      </c>
      <c r="JI4" s="1">
        <v>0</v>
      </c>
      <c r="JJ4" s="1">
        <v>0</v>
      </c>
      <c r="JK4" s="1">
        <v>0</v>
      </c>
      <c r="JL4" s="1">
        <v>0</v>
      </c>
      <c r="JM4" s="1">
        <v>0</v>
      </c>
      <c r="JN4" s="1">
        <v>0</v>
      </c>
      <c r="JO4" s="1">
        <v>0</v>
      </c>
      <c r="JP4" s="1">
        <v>0</v>
      </c>
      <c r="JQ4" s="1">
        <v>0</v>
      </c>
      <c r="JR4" s="1">
        <v>0</v>
      </c>
      <c r="JS4" s="1">
        <v>0</v>
      </c>
      <c r="JT4" s="1">
        <v>0</v>
      </c>
      <c r="JU4" s="1">
        <v>0</v>
      </c>
      <c r="JV4" s="1">
        <v>0</v>
      </c>
      <c r="JW4" s="1">
        <v>0</v>
      </c>
      <c r="JX4" s="1">
        <v>0</v>
      </c>
      <c r="JY4" s="1">
        <v>0</v>
      </c>
      <c r="JZ4" s="1">
        <v>0</v>
      </c>
      <c r="KA4" s="1">
        <v>0</v>
      </c>
      <c r="KB4" s="1">
        <v>0</v>
      </c>
      <c r="KC4" s="1">
        <v>0</v>
      </c>
    </row>
    <row r="5" spans="1:289" x14ac:dyDescent="0.15">
      <c r="A5">
        <v>13</v>
      </c>
      <c r="B5" s="1">
        <v>12.19</v>
      </c>
      <c r="C5" s="1">
        <v>98.98</v>
      </c>
      <c r="D5" s="1">
        <v>0</v>
      </c>
      <c r="E5" s="1">
        <v>0</v>
      </c>
      <c r="F5" s="1">
        <v>0</v>
      </c>
      <c r="G5" s="1">
        <v>0</v>
      </c>
      <c r="H5" s="1">
        <v>64.319999999999993</v>
      </c>
      <c r="I5" s="1">
        <v>0</v>
      </c>
      <c r="J5" s="1">
        <v>0</v>
      </c>
      <c r="K5" s="1">
        <v>0</v>
      </c>
      <c r="L5" s="1">
        <v>0</v>
      </c>
      <c r="M5" s="1">
        <v>47.56</v>
      </c>
      <c r="N5" s="1">
        <v>0</v>
      </c>
      <c r="O5" s="1">
        <v>0</v>
      </c>
      <c r="P5" s="1">
        <v>0</v>
      </c>
      <c r="Q5" s="1">
        <v>0</v>
      </c>
      <c r="R5" s="1">
        <v>36.619999999999997</v>
      </c>
      <c r="S5" s="1">
        <v>0</v>
      </c>
      <c r="T5" s="1">
        <v>0</v>
      </c>
      <c r="U5" s="1">
        <v>0</v>
      </c>
      <c r="V5" s="1">
        <v>0</v>
      </c>
      <c r="W5" s="1">
        <v>29.35</v>
      </c>
      <c r="X5" s="1">
        <v>0</v>
      </c>
      <c r="Y5" s="1">
        <v>0</v>
      </c>
      <c r="Z5" s="1">
        <v>0</v>
      </c>
      <c r="AA5" s="1">
        <v>0</v>
      </c>
      <c r="AB5" s="1">
        <v>24.23</v>
      </c>
      <c r="AC5" s="1">
        <v>0</v>
      </c>
      <c r="AD5" s="1">
        <v>0</v>
      </c>
      <c r="AE5" s="1">
        <v>0</v>
      </c>
      <c r="AF5" s="1">
        <v>0</v>
      </c>
      <c r="AG5" s="1">
        <v>20.49</v>
      </c>
      <c r="AH5" s="1">
        <v>0</v>
      </c>
      <c r="AI5" s="1">
        <v>0</v>
      </c>
      <c r="AJ5" s="1">
        <v>0</v>
      </c>
      <c r="AK5" s="1">
        <v>0</v>
      </c>
      <c r="AL5" s="1">
        <v>17.72</v>
      </c>
      <c r="AM5" s="1">
        <v>0</v>
      </c>
      <c r="AN5" s="1">
        <v>0</v>
      </c>
      <c r="AO5" s="1">
        <v>0</v>
      </c>
      <c r="AP5" s="1">
        <v>0</v>
      </c>
      <c r="AQ5" s="1">
        <v>15.7</v>
      </c>
      <c r="AR5" s="1">
        <v>0</v>
      </c>
      <c r="AS5" s="1">
        <v>0</v>
      </c>
      <c r="AT5" s="1">
        <v>0</v>
      </c>
      <c r="AU5" s="1">
        <v>0</v>
      </c>
      <c r="AV5" s="1">
        <v>0</v>
      </c>
      <c r="AW5" s="1">
        <v>0</v>
      </c>
      <c r="AX5" s="1">
        <v>0</v>
      </c>
      <c r="AY5" s="1">
        <v>0</v>
      </c>
      <c r="AZ5" s="1">
        <v>0</v>
      </c>
      <c r="BA5" s="1">
        <v>0</v>
      </c>
      <c r="BB5" s="1">
        <v>0</v>
      </c>
      <c r="BC5" s="1">
        <v>0</v>
      </c>
      <c r="BD5" s="1">
        <v>0</v>
      </c>
      <c r="BE5" s="1">
        <v>0</v>
      </c>
      <c r="BF5" s="1">
        <v>0</v>
      </c>
      <c r="BG5" s="1">
        <v>0</v>
      </c>
      <c r="BH5" s="1">
        <v>0</v>
      </c>
      <c r="BI5" s="1">
        <v>0</v>
      </c>
      <c r="BJ5" s="1">
        <v>0</v>
      </c>
      <c r="BK5" s="1">
        <v>0</v>
      </c>
      <c r="BL5" s="1">
        <v>0</v>
      </c>
      <c r="BM5" s="1">
        <v>0</v>
      </c>
      <c r="BN5" s="1">
        <v>0</v>
      </c>
      <c r="BO5" s="1">
        <v>0</v>
      </c>
      <c r="BP5" s="1">
        <v>0</v>
      </c>
      <c r="BQ5" s="1">
        <v>0</v>
      </c>
      <c r="BR5" s="1">
        <v>0</v>
      </c>
      <c r="BS5" s="1">
        <v>0</v>
      </c>
      <c r="BT5" s="1">
        <v>0</v>
      </c>
      <c r="BU5" s="1">
        <v>0</v>
      </c>
      <c r="BV5" s="1">
        <v>0</v>
      </c>
      <c r="BW5" s="1">
        <v>0</v>
      </c>
      <c r="BX5" s="1">
        <v>0</v>
      </c>
      <c r="BY5" s="1">
        <v>0</v>
      </c>
      <c r="BZ5" s="1">
        <v>0</v>
      </c>
      <c r="CA5" s="1">
        <v>0</v>
      </c>
      <c r="CB5" s="1">
        <v>0</v>
      </c>
      <c r="CC5" s="1">
        <v>0</v>
      </c>
      <c r="CD5" s="1">
        <v>0</v>
      </c>
      <c r="CE5" s="1">
        <v>0</v>
      </c>
      <c r="CF5" s="1">
        <v>0</v>
      </c>
      <c r="CG5" s="1">
        <v>0</v>
      </c>
      <c r="CH5" s="1">
        <v>0</v>
      </c>
      <c r="CI5" s="1">
        <v>0</v>
      </c>
      <c r="CJ5" s="1">
        <v>0</v>
      </c>
      <c r="CK5" s="1">
        <v>0</v>
      </c>
      <c r="CL5" s="1">
        <v>0</v>
      </c>
      <c r="CM5" s="1">
        <v>0</v>
      </c>
      <c r="CN5" s="1">
        <v>0</v>
      </c>
      <c r="CO5" s="1">
        <v>0</v>
      </c>
      <c r="CP5" s="1">
        <v>0</v>
      </c>
      <c r="CQ5" s="1">
        <v>0</v>
      </c>
      <c r="CR5" s="1">
        <v>0</v>
      </c>
      <c r="CS5" s="1">
        <v>0</v>
      </c>
      <c r="CT5" s="1">
        <v>0</v>
      </c>
      <c r="CU5" s="1">
        <v>0</v>
      </c>
      <c r="CV5" s="1">
        <v>0</v>
      </c>
      <c r="CW5" s="1">
        <v>0</v>
      </c>
      <c r="CX5" s="1">
        <v>0</v>
      </c>
      <c r="CY5" s="1">
        <v>0</v>
      </c>
      <c r="CZ5" s="1">
        <v>0</v>
      </c>
      <c r="DA5" s="1">
        <v>0</v>
      </c>
      <c r="DB5" s="1">
        <v>0</v>
      </c>
      <c r="DC5" s="1">
        <v>0</v>
      </c>
      <c r="DD5" s="1">
        <v>0</v>
      </c>
      <c r="DE5" s="1">
        <v>0</v>
      </c>
      <c r="DF5" s="1">
        <v>0</v>
      </c>
      <c r="DG5" s="1">
        <v>0</v>
      </c>
      <c r="DH5" s="1">
        <v>0</v>
      </c>
      <c r="DI5" s="1">
        <v>0</v>
      </c>
      <c r="DJ5" s="1">
        <v>0</v>
      </c>
      <c r="DK5" s="1">
        <v>0</v>
      </c>
      <c r="DL5" s="1">
        <v>0</v>
      </c>
      <c r="DM5" s="1">
        <v>0</v>
      </c>
      <c r="DN5" s="1">
        <v>0</v>
      </c>
      <c r="DO5" s="1">
        <v>0</v>
      </c>
      <c r="DP5" s="1">
        <v>0</v>
      </c>
      <c r="DQ5" s="1">
        <v>0</v>
      </c>
      <c r="DR5" s="1">
        <v>0</v>
      </c>
      <c r="DS5" s="1">
        <v>0</v>
      </c>
      <c r="DT5" s="1">
        <v>0</v>
      </c>
      <c r="DU5" s="1">
        <v>0</v>
      </c>
      <c r="DV5" s="1">
        <v>0</v>
      </c>
      <c r="DW5" s="1">
        <v>0</v>
      </c>
      <c r="DX5" s="1">
        <v>0</v>
      </c>
      <c r="DY5" s="1">
        <v>0</v>
      </c>
      <c r="DZ5" s="1">
        <v>0</v>
      </c>
      <c r="EA5" s="1">
        <v>0</v>
      </c>
      <c r="EB5" s="1">
        <v>0</v>
      </c>
      <c r="EC5" s="1">
        <v>0</v>
      </c>
      <c r="ED5" s="1">
        <v>0</v>
      </c>
      <c r="EE5" s="1">
        <v>0</v>
      </c>
      <c r="EF5" s="1">
        <v>0</v>
      </c>
      <c r="EG5" s="1">
        <v>0</v>
      </c>
      <c r="EH5" s="1">
        <v>0</v>
      </c>
      <c r="EI5" s="1">
        <v>0</v>
      </c>
      <c r="EJ5" s="1">
        <v>0</v>
      </c>
      <c r="EK5" s="1">
        <v>0</v>
      </c>
      <c r="EL5" s="1">
        <v>0</v>
      </c>
      <c r="EM5" s="1">
        <v>0</v>
      </c>
      <c r="EN5" s="1">
        <v>0</v>
      </c>
      <c r="EO5" s="1">
        <v>0</v>
      </c>
      <c r="EP5" s="1">
        <v>0</v>
      </c>
      <c r="EQ5" s="1">
        <v>0</v>
      </c>
      <c r="ER5" s="1">
        <v>0</v>
      </c>
      <c r="ES5" s="1">
        <v>0</v>
      </c>
      <c r="ET5" s="1">
        <v>0</v>
      </c>
      <c r="EU5" s="1">
        <v>0</v>
      </c>
      <c r="EV5" s="1">
        <v>0</v>
      </c>
      <c r="EW5" s="1">
        <v>0</v>
      </c>
      <c r="EX5" s="1">
        <v>0</v>
      </c>
      <c r="EY5" s="1">
        <v>0</v>
      </c>
      <c r="EZ5" s="1">
        <v>0</v>
      </c>
      <c r="FA5" s="1">
        <v>0</v>
      </c>
      <c r="FB5" s="1">
        <v>0</v>
      </c>
      <c r="FC5" s="1">
        <v>0</v>
      </c>
      <c r="FD5" s="1">
        <v>0</v>
      </c>
      <c r="FE5" s="1">
        <v>0</v>
      </c>
      <c r="FF5" s="1">
        <v>0</v>
      </c>
      <c r="FG5" s="1">
        <v>0</v>
      </c>
      <c r="FH5" s="1">
        <v>0</v>
      </c>
      <c r="FI5" s="1">
        <v>0</v>
      </c>
      <c r="FJ5" s="1">
        <v>0</v>
      </c>
      <c r="FK5" s="1">
        <v>0</v>
      </c>
      <c r="FL5" s="1">
        <v>0</v>
      </c>
      <c r="FM5" s="1">
        <v>0</v>
      </c>
      <c r="FN5" s="1">
        <v>0</v>
      </c>
      <c r="FO5" s="1">
        <v>0</v>
      </c>
      <c r="FP5" s="1">
        <v>0</v>
      </c>
      <c r="FQ5" s="1">
        <v>0</v>
      </c>
      <c r="FR5" s="1">
        <v>0</v>
      </c>
      <c r="FS5" s="1">
        <v>0</v>
      </c>
      <c r="FT5" s="1">
        <v>0</v>
      </c>
      <c r="FU5" s="1">
        <v>0</v>
      </c>
      <c r="FV5" s="1">
        <v>0</v>
      </c>
      <c r="FW5" s="1">
        <v>0</v>
      </c>
      <c r="FX5" s="1">
        <v>0</v>
      </c>
      <c r="FY5" s="1">
        <v>0</v>
      </c>
      <c r="FZ5" s="1">
        <v>0</v>
      </c>
      <c r="GA5" s="1">
        <v>0</v>
      </c>
      <c r="GB5" s="1">
        <v>0</v>
      </c>
      <c r="GC5" s="1">
        <v>0</v>
      </c>
      <c r="GD5" s="1">
        <v>0</v>
      </c>
      <c r="GE5" s="1">
        <v>0</v>
      </c>
      <c r="GF5" s="1">
        <v>0</v>
      </c>
      <c r="GG5" s="1">
        <v>0</v>
      </c>
      <c r="GH5" s="1">
        <v>0</v>
      </c>
      <c r="GI5" s="1">
        <v>0</v>
      </c>
      <c r="GJ5" s="1">
        <v>0</v>
      </c>
      <c r="GK5" s="1">
        <v>0</v>
      </c>
      <c r="GL5" s="1">
        <v>0</v>
      </c>
      <c r="GM5" s="1">
        <v>0</v>
      </c>
      <c r="GN5" s="1">
        <v>0</v>
      </c>
      <c r="GO5" s="1">
        <v>0</v>
      </c>
      <c r="GP5" s="1">
        <v>0</v>
      </c>
      <c r="GQ5" s="1">
        <v>0</v>
      </c>
      <c r="GR5" s="1">
        <v>0</v>
      </c>
      <c r="GS5" s="1">
        <v>0</v>
      </c>
      <c r="GT5" s="1">
        <v>0</v>
      </c>
      <c r="GU5" s="1">
        <v>0</v>
      </c>
      <c r="GV5" s="1">
        <v>0</v>
      </c>
      <c r="GW5" s="1">
        <v>0</v>
      </c>
      <c r="GX5" s="1">
        <v>0</v>
      </c>
      <c r="GY5" s="1">
        <v>0</v>
      </c>
      <c r="GZ5" s="1">
        <v>0</v>
      </c>
      <c r="HA5" s="1">
        <v>0</v>
      </c>
      <c r="HB5" s="1">
        <v>0</v>
      </c>
      <c r="HC5" s="1">
        <v>0</v>
      </c>
      <c r="HD5" s="1">
        <v>0</v>
      </c>
      <c r="HE5" s="1">
        <v>0</v>
      </c>
      <c r="HF5" s="1">
        <v>0</v>
      </c>
      <c r="HG5" s="1">
        <v>0</v>
      </c>
      <c r="HH5" s="1">
        <v>0</v>
      </c>
      <c r="HI5" s="1">
        <v>0</v>
      </c>
      <c r="HJ5" s="1">
        <v>0</v>
      </c>
      <c r="HK5" s="1">
        <v>0</v>
      </c>
      <c r="HL5" s="1">
        <v>0</v>
      </c>
      <c r="HM5" s="1">
        <v>0</v>
      </c>
      <c r="HN5" s="1">
        <v>0</v>
      </c>
      <c r="HO5" s="1">
        <v>0</v>
      </c>
      <c r="HP5" s="1">
        <v>0</v>
      </c>
      <c r="HQ5" s="1">
        <v>0</v>
      </c>
      <c r="HR5" s="1">
        <v>0</v>
      </c>
      <c r="HS5" s="1">
        <v>0</v>
      </c>
      <c r="HT5" s="1">
        <v>0</v>
      </c>
      <c r="HU5" s="1">
        <v>0</v>
      </c>
      <c r="HV5" s="1">
        <v>0</v>
      </c>
      <c r="HW5" s="1">
        <v>0</v>
      </c>
      <c r="HX5" s="1">
        <v>0</v>
      </c>
      <c r="HY5" s="1">
        <v>0</v>
      </c>
      <c r="HZ5" s="1">
        <v>0</v>
      </c>
      <c r="IA5" s="1">
        <v>0</v>
      </c>
      <c r="IB5" s="1">
        <v>0</v>
      </c>
      <c r="IC5" s="1">
        <v>0</v>
      </c>
      <c r="ID5" s="1">
        <v>0</v>
      </c>
      <c r="IE5" s="1">
        <v>0</v>
      </c>
      <c r="IF5" s="1">
        <v>0</v>
      </c>
      <c r="IG5" s="1">
        <v>0</v>
      </c>
      <c r="IH5" s="1">
        <v>0</v>
      </c>
      <c r="II5" s="1">
        <v>0</v>
      </c>
      <c r="IJ5" s="1">
        <v>0</v>
      </c>
      <c r="IK5" s="1">
        <v>0</v>
      </c>
      <c r="IL5" s="1">
        <v>0</v>
      </c>
      <c r="IM5" s="1">
        <v>0</v>
      </c>
      <c r="IN5" s="1">
        <v>0</v>
      </c>
      <c r="IO5" s="1">
        <v>0</v>
      </c>
      <c r="IP5" s="1">
        <v>0</v>
      </c>
      <c r="IQ5" s="1">
        <v>0</v>
      </c>
      <c r="IR5" s="1">
        <v>0</v>
      </c>
      <c r="IS5" s="1">
        <v>0</v>
      </c>
      <c r="IT5" s="1">
        <v>0</v>
      </c>
      <c r="IU5" s="1">
        <v>0</v>
      </c>
      <c r="IV5" s="1">
        <v>0</v>
      </c>
      <c r="IW5" s="1">
        <v>0</v>
      </c>
      <c r="IX5" s="1">
        <v>0</v>
      </c>
      <c r="IY5" s="1">
        <v>0</v>
      </c>
      <c r="IZ5" s="1">
        <v>0</v>
      </c>
      <c r="JA5" s="1">
        <v>0</v>
      </c>
      <c r="JB5" s="1">
        <v>0</v>
      </c>
      <c r="JC5" s="1">
        <v>0</v>
      </c>
      <c r="JD5" s="1">
        <v>0</v>
      </c>
      <c r="JE5" s="1">
        <v>0</v>
      </c>
      <c r="JF5" s="1">
        <v>0</v>
      </c>
      <c r="JG5" s="1">
        <v>0</v>
      </c>
      <c r="JH5" s="1">
        <v>0</v>
      </c>
      <c r="JI5" s="1">
        <v>0</v>
      </c>
      <c r="JJ5" s="1">
        <v>0</v>
      </c>
      <c r="JK5" s="1">
        <v>0</v>
      </c>
      <c r="JL5" s="1">
        <v>0</v>
      </c>
      <c r="JM5" s="1">
        <v>0</v>
      </c>
      <c r="JN5" s="1">
        <v>0</v>
      </c>
      <c r="JO5" s="1">
        <v>0</v>
      </c>
      <c r="JP5" s="1">
        <v>0</v>
      </c>
      <c r="JQ5" s="1">
        <v>0</v>
      </c>
      <c r="JR5" s="1">
        <v>0</v>
      </c>
      <c r="JS5" s="1">
        <v>0</v>
      </c>
      <c r="JT5" s="1">
        <v>0</v>
      </c>
      <c r="JU5" s="1">
        <v>0</v>
      </c>
      <c r="JV5" s="1">
        <v>0</v>
      </c>
      <c r="JW5" s="1">
        <v>0</v>
      </c>
      <c r="JX5" s="1">
        <v>0</v>
      </c>
      <c r="JY5" s="1">
        <v>0</v>
      </c>
      <c r="JZ5" s="1">
        <v>0</v>
      </c>
      <c r="KA5" s="1">
        <v>0</v>
      </c>
      <c r="KB5" s="1">
        <v>0</v>
      </c>
      <c r="KC5" s="1">
        <v>0</v>
      </c>
    </row>
    <row r="6" spans="1:289" x14ac:dyDescent="0.15">
      <c r="A6">
        <v>14</v>
      </c>
      <c r="B6" s="1">
        <v>12.52</v>
      </c>
      <c r="C6" s="1">
        <v>98.98</v>
      </c>
      <c r="D6" s="1">
        <v>0</v>
      </c>
      <c r="E6" s="1">
        <v>0</v>
      </c>
      <c r="F6" s="1">
        <v>0</v>
      </c>
      <c r="G6" s="1">
        <v>0</v>
      </c>
      <c r="H6" s="1">
        <v>64.33</v>
      </c>
      <c r="I6" s="1">
        <v>0</v>
      </c>
      <c r="J6" s="1">
        <v>0</v>
      </c>
      <c r="K6" s="1">
        <v>0</v>
      </c>
      <c r="L6" s="1">
        <v>0</v>
      </c>
      <c r="M6" s="1">
        <v>47.58</v>
      </c>
      <c r="N6" s="1">
        <v>0</v>
      </c>
      <c r="O6" s="1">
        <v>0</v>
      </c>
      <c r="P6" s="1">
        <v>0</v>
      </c>
      <c r="Q6" s="1">
        <v>0</v>
      </c>
      <c r="R6" s="1">
        <v>36.64</v>
      </c>
      <c r="S6" s="1">
        <v>0</v>
      </c>
      <c r="T6" s="1">
        <v>0</v>
      </c>
      <c r="U6" s="1">
        <v>0</v>
      </c>
      <c r="V6" s="1">
        <v>0</v>
      </c>
      <c r="W6" s="1">
        <v>29.38</v>
      </c>
      <c r="X6" s="1">
        <v>0</v>
      </c>
      <c r="Y6" s="1">
        <v>0</v>
      </c>
      <c r="Z6" s="1">
        <v>0</v>
      </c>
      <c r="AA6" s="1">
        <v>0</v>
      </c>
      <c r="AB6" s="1">
        <v>24.27</v>
      </c>
      <c r="AC6" s="1">
        <v>0</v>
      </c>
      <c r="AD6" s="1">
        <v>0</v>
      </c>
      <c r="AE6" s="1">
        <v>0</v>
      </c>
      <c r="AF6" s="1">
        <v>0</v>
      </c>
      <c r="AG6" s="1">
        <v>20.55</v>
      </c>
      <c r="AH6" s="1">
        <v>0</v>
      </c>
      <c r="AI6" s="1">
        <v>0</v>
      </c>
      <c r="AJ6" s="1">
        <v>0</v>
      </c>
      <c r="AK6" s="1">
        <v>0</v>
      </c>
      <c r="AL6" s="1">
        <v>17.82</v>
      </c>
      <c r="AM6" s="1">
        <v>0</v>
      </c>
      <c r="AN6" s="1">
        <v>0</v>
      </c>
      <c r="AO6" s="1">
        <v>0</v>
      </c>
      <c r="AP6" s="1">
        <v>0</v>
      </c>
      <c r="AQ6" s="1">
        <v>15.84</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0</v>
      </c>
      <c r="CX6" s="1">
        <v>0</v>
      </c>
      <c r="CY6" s="1">
        <v>0</v>
      </c>
      <c r="CZ6" s="1">
        <v>0</v>
      </c>
      <c r="DA6" s="1">
        <v>0</v>
      </c>
      <c r="DB6" s="1">
        <v>0</v>
      </c>
      <c r="DC6" s="1">
        <v>0</v>
      </c>
      <c r="DD6" s="1">
        <v>0</v>
      </c>
      <c r="DE6" s="1">
        <v>0</v>
      </c>
      <c r="DF6" s="1">
        <v>0</v>
      </c>
      <c r="DG6" s="1">
        <v>0</v>
      </c>
      <c r="DH6" s="1">
        <v>0</v>
      </c>
      <c r="DI6" s="1">
        <v>0</v>
      </c>
      <c r="DJ6" s="1">
        <v>0</v>
      </c>
      <c r="DK6" s="1">
        <v>0</v>
      </c>
      <c r="DL6" s="1">
        <v>0</v>
      </c>
      <c r="DM6" s="1">
        <v>0</v>
      </c>
      <c r="DN6" s="1">
        <v>0</v>
      </c>
      <c r="DO6" s="1">
        <v>0</v>
      </c>
      <c r="DP6" s="1">
        <v>0</v>
      </c>
      <c r="DQ6" s="1">
        <v>0</v>
      </c>
      <c r="DR6" s="1">
        <v>0</v>
      </c>
      <c r="DS6" s="1">
        <v>0</v>
      </c>
      <c r="DT6" s="1">
        <v>0</v>
      </c>
      <c r="DU6" s="1">
        <v>0</v>
      </c>
      <c r="DV6" s="1">
        <v>0</v>
      </c>
      <c r="DW6" s="1">
        <v>0</v>
      </c>
      <c r="DX6" s="1">
        <v>0</v>
      </c>
      <c r="DY6" s="1">
        <v>0</v>
      </c>
      <c r="DZ6" s="1">
        <v>0</v>
      </c>
      <c r="EA6" s="1">
        <v>0</v>
      </c>
      <c r="EB6" s="1">
        <v>0</v>
      </c>
      <c r="EC6" s="1">
        <v>0</v>
      </c>
      <c r="ED6" s="1">
        <v>0</v>
      </c>
      <c r="EE6" s="1">
        <v>0</v>
      </c>
      <c r="EF6" s="1">
        <v>0</v>
      </c>
      <c r="EG6" s="1">
        <v>0</v>
      </c>
      <c r="EH6" s="1">
        <v>0</v>
      </c>
      <c r="EI6" s="1">
        <v>0</v>
      </c>
      <c r="EJ6" s="1">
        <v>0</v>
      </c>
      <c r="EK6" s="1">
        <v>0</v>
      </c>
      <c r="EL6" s="1">
        <v>0</v>
      </c>
      <c r="EM6" s="1">
        <v>0</v>
      </c>
      <c r="EN6" s="1">
        <v>0</v>
      </c>
      <c r="EO6" s="1">
        <v>0</v>
      </c>
      <c r="EP6" s="1">
        <v>0</v>
      </c>
      <c r="EQ6" s="1">
        <v>0</v>
      </c>
      <c r="ER6" s="1">
        <v>0</v>
      </c>
      <c r="ES6" s="1">
        <v>0</v>
      </c>
      <c r="ET6" s="1">
        <v>0</v>
      </c>
      <c r="EU6" s="1">
        <v>0</v>
      </c>
      <c r="EV6" s="1">
        <v>0</v>
      </c>
      <c r="EW6" s="1">
        <v>0</v>
      </c>
      <c r="EX6" s="1">
        <v>0</v>
      </c>
      <c r="EY6" s="1">
        <v>0</v>
      </c>
      <c r="EZ6" s="1">
        <v>0</v>
      </c>
      <c r="FA6" s="1">
        <v>0</v>
      </c>
      <c r="FB6" s="1">
        <v>0</v>
      </c>
      <c r="FC6" s="1">
        <v>0</v>
      </c>
      <c r="FD6" s="1">
        <v>0</v>
      </c>
      <c r="FE6" s="1">
        <v>0</v>
      </c>
      <c r="FF6" s="1">
        <v>0</v>
      </c>
      <c r="FG6" s="1">
        <v>0</v>
      </c>
      <c r="FH6" s="1">
        <v>0</v>
      </c>
      <c r="FI6" s="1">
        <v>0</v>
      </c>
      <c r="FJ6" s="1">
        <v>0</v>
      </c>
      <c r="FK6" s="1">
        <v>0</v>
      </c>
      <c r="FL6" s="1">
        <v>0</v>
      </c>
      <c r="FM6" s="1">
        <v>0</v>
      </c>
      <c r="FN6" s="1">
        <v>0</v>
      </c>
      <c r="FO6" s="1">
        <v>0</v>
      </c>
      <c r="FP6" s="1">
        <v>0</v>
      </c>
      <c r="FQ6" s="1">
        <v>0</v>
      </c>
      <c r="FR6" s="1">
        <v>0</v>
      </c>
      <c r="FS6" s="1">
        <v>0</v>
      </c>
      <c r="FT6" s="1">
        <v>0</v>
      </c>
      <c r="FU6" s="1">
        <v>0</v>
      </c>
      <c r="FV6" s="1">
        <v>0</v>
      </c>
      <c r="FW6" s="1">
        <v>0</v>
      </c>
      <c r="FX6" s="1">
        <v>0</v>
      </c>
      <c r="FY6" s="1">
        <v>0</v>
      </c>
      <c r="FZ6" s="1">
        <v>0</v>
      </c>
      <c r="GA6" s="1">
        <v>0</v>
      </c>
      <c r="GB6" s="1">
        <v>0</v>
      </c>
      <c r="GC6" s="1">
        <v>0</v>
      </c>
      <c r="GD6" s="1">
        <v>0</v>
      </c>
      <c r="GE6" s="1">
        <v>0</v>
      </c>
      <c r="GF6" s="1">
        <v>0</v>
      </c>
      <c r="GG6" s="1">
        <v>0</v>
      </c>
      <c r="GH6" s="1">
        <v>0</v>
      </c>
      <c r="GI6" s="1">
        <v>0</v>
      </c>
      <c r="GJ6" s="1">
        <v>0</v>
      </c>
      <c r="GK6" s="1">
        <v>0</v>
      </c>
      <c r="GL6" s="1">
        <v>0</v>
      </c>
      <c r="GM6" s="1">
        <v>0</v>
      </c>
      <c r="GN6" s="1">
        <v>0</v>
      </c>
      <c r="GO6" s="1">
        <v>0</v>
      </c>
      <c r="GP6" s="1">
        <v>0</v>
      </c>
      <c r="GQ6" s="1">
        <v>0</v>
      </c>
      <c r="GR6" s="1">
        <v>0</v>
      </c>
      <c r="GS6" s="1">
        <v>0</v>
      </c>
      <c r="GT6" s="1">
        <v>0</v>
      </c>
      <c r="GU6" s="1">
        <v>0</v>
      </c>
      <c r="GV6" s="1">
        <v>0</v>
      </c>
      <c r="GW6" s="1">
        <v>0</v>
      </c>
      <c r="GX6" s="1">
        <v>0</v>
      </c>
      <c r="GY6" s="1">
        <v>0</v>
      </c>
      <c r="GZ6" s="1">
        <v>0</v>
      </c>
      <c r="HA6" s="1">
        <v>0</v>
      </c>
      <c r="HB6" s="1">
        <v>0</v>
      </c>
      <c r="HC6" s="1">
        <v>0</v>
      </c>
      <c r="HD6" s="1">
        <v>0</v>
      </c>
      <c r="HE6" s="1">
        <v>0</v>
      </c>
      <c r="HF6" s="1">
        <v>0</v>
      </c>
      <c r="HG6" s="1">
        <v>0</v>
      </c>
      <c r="HH6" s="1">
        <v>0</v>
      </c>
      <c r="HI6" s="1">
        <v>0</v>
      </c>
      <c r="HJ6" s="1">
        <v>0</v>
      </c>
      <c r="HK6" s="1">
        <v>0</v>
      </c>
      <c r="HL6" s="1">
        <v>0</v>
      </c>
      <c r="HM6" s="1">
        <v>0</v>
      </c>
      <c r="HN6" s="1">
        <v>0</v>
      </c>
      <c r="HO6" s="1">
        <v>0</v>
      </c>
      <c r="HP6" s="1">
        <v>0</v>
      </c>
      <c r="HQ6" s="1">
        <v>0</v>
      </c>
      <c r="HR6" s="1">
        <v>0</v>
      </c>
      <c r="HS6" s="1">
        <v>0</v>
      </c>
      <c r="HT6" s="1">
        <v>0</v>
      </c>
      <c r="HU6" s="1">
        <v>0</v>
      </c>
      <c r="HV6" s="1">
        <v>0</v>
      </c>
      <c r="HW6" s="1">
        <v>0</v>
      </c>
      <c r="HX6" s="1">
        <v>0</v>
      </c>
      <c r="HY6" s="1">
        <v>0</v>
      </c>
      <c r="HZ6" s="1">
        <v>0</v>
      </c>
      <c r="IA6" s="1">
        <v>0</v>
      </c>
      <c r="IB6" s="1">
        <v>0</v>
      </c>
      <c r="IC6" s="1">
        <v>0</v>
      </c>
      <c r="ID6" s="1">
        <v>0</v>
      </c>
      <c r="IE6" s="1">
        <v>0</v>
      </c>
      <c r="IF6" s="1">
        <v>0</v>
      </c>
      <c r="IG6" s="1">
        <v>0</v>
      </c>
      <c r="IH6" s="1">
        <v>0</v>
      </c>
      <c r="II6" s="1">
        <v>0</v>
      </c>
      <c r="IJ6" s="1">
        <v>0</v>
      </c>
      <c r="IK6" s="1">
        <v>0</v>
      </c>
      <c r="IL6" s="1">
        <v>0</v>
      </c>
      <c r="IM6" s="1">
        <v>0</v>
      </c>
      <c r="IN6" s="1">
        <v>0</v>
      </c>
      <c r="IO6" s="1">
        <v>0</v>
      </c>
      <c r="IP6" s="1">
        <v>0</v>
      </c>
      <c r="IQ6" s="1">
        <v>0</v>
      </c>
      <c r="IR6" s="1">
        <v>0</v>
      </c>
      <c r="IS6" s="1">
        <v>0</v>
      </c>
      <c r="IT6" s="1">
        <v>0</v>
      </c>
      <c r="IU6" s="1">
        <v>0</v>
      </c>
      <c r="IV6" s="1">
        <v>0</v>
      </c>
      <c r="IW6" s="1">
        <v>0</v>
      </c>
      <c r="IX6" s="1">
        <v>0</v>
      </c>
      <c r="IY6" s="1">
        <v>0</v>
      </c>
      <c r="IZ6" s="1">
        <v>0</v>
      </c>
      <c r="JA6" s="1">
        <v>0</v>
      </c>
      <c r="JB6" s="1">
        <v>0</v>
      </c>
      <c r="JC6" s="1">
        <v>0</v>
      </c>
      <c r="JD6" s="1">
        <v>0</v>
      </c>
      <c r="JE6" s="1">
        <v>0</v>
      </c>
      <c r="JF6" s="1">
        <v>0</v>
      </c>
      <c r="JG6" s="1">
        <v>0</v>
      </c>
      <c r="JH6" s="1">
        <v>0</v>
      </c>
      <c r="JI6" s="1">
        <v>0</v>
      </c>
      <c r="JJ6" s="1">
        <v>0</v>
      </c>
      <c r="JK6" s="1">
        <v>0</v>
      </c>
      <c r="JL6" s="1">
        <v>0</v>
      </c>
      <c r="JM6" s="1">
        <v>0</v>
      </c>
      <c r="JN6" s="1">
        <v>0</v>
      </c>
      <c r="JO6" s="1">
        <v>0</v>
      </c>
      <c r="JP6" s="1">
        <v>0</v>
      </c>
      <c r="JQ6" s="1">
        <v>0</v>
      </c>
      <c r="JR6" s="1">
        <v>0</v>
      </c>
      <c r="JS6" s="1">
        <v>0</v>
      </c>
      <c r="JT6" s="1">
        <v>0</v>
      </c>
      <c r="JU6" s="1">
        <v>0</v>
      </c>
      <c r="JV6" s="1">
        <v>0</v>
      </c>
      <c r="JW6" s="1">
        <v>0</v>
      </c>
      <c r="JX6" s="1">
        <v>0</v>
      </c>
      <c r="JY6" s="1">
        <v>0</v>
      </c>
      <c r="JZ6" s="1">
        <v>0</v>
      </c>
      <c r="KA6" s="1">
        <v>0</v>
      </c>
      <c r="KB6" s="1">
        <v>0</v>
      </c>
      <c r="KC6" s="1">
        <v>0</v>
      </c>
    </row>
    <row r="7" spans="1:289" x14ac:dyDescent="0.15">
      <c r="A7">
        <v>15</v>
      </c>
      <c r="B7" s="1">
        <v>12.86</v>
      </c>
      <c r="C7" s="1">
        <v>98.98</v>
      </c>
      <c r="D7" s="1">
        <v>0</v>
      </c>
      <c r="E7" s="1">
        <v>0</v>
      </c>
      <c r="F7" s="1">
        <v>0</v>
      </c>
      <c r="G7" s="1">
        <v>0</v>
      </c>
      <c r="H7" s="1">
        <v>64.34</v>
      </c>
      <c r="I7" s="1">
        <v>0</v>
      </c>
      <c r="J7" s="1">
        <v>0</v>
      </c>
      <c r="K7" s="1">
        <v>0</v>
      </c>
      <c r="L7" s="1">
        <v>0</v>
      </c>
      <c r="M7" s="1">
        <v>47.59</v>
      </c>
      <c r="N7" s="1">
        <v>0</v>
      </c>
      <c r="O7" s="1">
        <v>0</v>
      </c>
      <c r="P7" s="1">
        <v>0</v>
      </c>
      <c r="Q7" s="1">
        <v>0</v>
      </c>
      <c r="R7" s="1">
        <v>36.659999999999997</v>
      </c>
      <c r="S7" s="1">
        <v>0</v>
      </c>
      <c r="T7" s="1">
        <v>0</v>
      </c>
      <c r="U7" s="1">
        <v>0</v>
      </c>
      <c r="V7" s="1">
        <v>0</v>
      </c>
      <c r="W7" s="1">
        <v>29.42</v>
      </c>
      <c r="X7" s="1">
        <v>0</v>
      </c>
      <c r="Y7" s="1">
        <v>0</v>
      </c>
      <c r="Z7" s="1">
        <v>0</v>
      </c>
      <c r="AA7" s="1">
        <v>0</v>
      </c>
      <c r="AB7" s="1">
        <v>24.32</v>
      </c>
      <c r="AC7" s="1">
        <v>0</v>
      </c>
      <c r="AD7" s="1">
        <v>0</v>
      </c>
      <c r="AE7" s="1">
        <v>0</v>
      </c>
      <c r="AF7" s="1">
        <v>0</v>
      </c>
      <c r="AG7" s="1">
        <v>20.62</v>
      </c>
      <c r="AH7" s="1">
        <v>0</v>
      </c>
      <c r="AI7" s="1">
        <v>0</v>
      </c>
      <c r="AJ7" s="1">
        <v>0</v>
      </c>
      <c r="AK7" s="1">
        <v>0</v>
      </c>
      <c r="AL7" s="1">
        <v>17.920000000000002</v>
      </c>
      <c r="AM7" s="1">
        <v>0</v>
      </c>
      <c r="AN7" s="1">
        <v>0</v>
      </c>
      <c r="AO7" s="1">
        <v>0</v>
      </c>
      <c r="AP7" s="1">
        <v>0</v>
      </c>
      <c r="AQ7" s="1">
        <v>15.99</v>
      </c>
      <c r="AR7" s="1">
        <v>0</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0</v>
      </c>
      <c r="DB7" s="1">
        <v>0</v>
      </c>
      <c r="DC7" s="1">
        <v>0</v>
      </c>
      <c r="DD7" s="1">
        <v>0</v>
      </c>
      <c r="DE7" s="1">
        <v>0</v>
      </c>
      <c r="DF7" s="1">
        <v>0</v>
      </c>
      <c r="DG7" s="1">
        <v>0</v>
      </c>
      <c r="DH7" s="1">
        <v>0</v>
      </c>
      <c r="DI7" s="1">
        <v>0</v>
      </c>
      <c r="DJ7" s="1">
        <v>0</v>
      </c>
      <c r="DK7" s="1">
        <v>0</v>
      </c>
      <c r="DL7" s="1">
        <v>0</v>
      </c>
      <c r="DM7" s="1">
        <v>0</v>
      </c>
      <c r="DN7" s="1">
        <v>0</v>
      </c>
      <c r="DO7" s="1">
        <v>0</v>
      </c>
      <c r="DP7" s="1">
        <v>0</v>
      </c>
      <c r="DQ7" s="1">
        <v>0</v>
      </c>
      <c r="DR7" s="1">
        <v>0</v>
      </c>
      <c r="DS7" s="1">
        <v>0</v>
      </c>
      <c r="DT7" s="1">
        <v>0</v>
      </c>
      <c r="DU7" s="1">
        <v>0</v>
      </c>
      <c r="DV7" s="1">
        <v>0</v>
      </c>
      <c r="DW7" s="1">
        <v>0</v>
      </c>
      <c r="DX7" s="1">
        <v>0</v>
      </c>
      <c r="DY7" s="1">
        <v>0</v>
      </c>
      <c r="DZ7" s="1">
        <v>0</v>
      </c>
      <c r="EA7" s="1">
        <v>0</v>
      </c>
      <c r="EB7" s="1">
        <v>0</v>
      </c>
      <c r="EC7" s="1">
        <v>0</v>
      </c>
      <c r="ED7" s="1">
        <v>0</v>
      </c>
      <c r="EE7" s="1">
        <v>0</v>
      </c>
      <c r="EF7" s="1">
        <v>0</v>
      </c>
      <c r="EG7" s="1">
        <v>0</v>
      </c>
      <c r="EH7" s="1">
        <v>0</v>
      </c>
      <c r="EI7" s="1">
        <v>0</v>
      </c>
      <c r="EJ7" s="1">
        <v>0</v>
      </c>
      <c r="EK7" s="1">
        <v>0</v>
      </c>
      <c r="EL7" s="1">
        <v>0</v>
      </c>
      <c r="EM7" s="1">
        <v>0</v>
      </c>
      <c r="EN7" s="1">
        <v>0</v>
      </c>
      <c r="EO7" s="1">
        <v>0</v>
      </c>
      <c r="EP7" s="1">
        <v>0</v>
      </c>
      <c r="EQ7" s="1">
        <v>0</v>
      </c>
      <c r="ER7" s="1">
        <v>0</v>
      </c>
      <c r="ES7" s="1">
        <v>0</v>
      </c>
      <c r="ET7" s="1">
        <v>0</v>
      </c>
      <c r="EU7" s="1">
        <v>0</v>
      </c>
      <c r="EV7" s="1">
        <v>0</v>
      </c>
      <c r="EW7" s="1">
        <v>0</v>
      </c>
      <c r="EX7" s="1">
        <v>0</v>
      </c>
      <c r="EY7" s="1">
        <v>0</v>
      </c>
      <c r="EZ7" s="1">
        <v>0</v>
      </c>
      <c r="FA7" s="1">
        <v>0</v>
      </c>
      <c r="FB7" s="1">
        <v>0</v>
      </c>
      <c r="FC7" s="1">
        <v>0</v>
      </c>
      <c r="FD7" s="1">
        <v>0</v>
      </c>
      <c r="FE7" s="1">
        <v>0</v>
      </c>
      <c r="FF7" s="1">
        <v>0</v>
      </c>
      <c r="FG7" s="1">
        <v>0</v>
      </c>
      <c r="FH7" s="1">
        <v>0</v>
      </c>
      <c r="FI7" s="1">
        <v>0</v>
      </c>
      <c r="FJ7" s="1">
        <v>0</v>
      </c>
      <c r="FK7" s="1">
        <v>0</v>
      </c>
      <c r="FL7" s="1">
        <v>0</v>
      </c>
      <c r="FM7" s="1">
        <v>0</v>
      </c>
      <c r="FN7" s="1">
        <v>0</v>
      </c>
      <c r="FO7" s="1">
        <v>0</v>
      </c>
      <c r="FP7" s="1">
        <v>0</v>
      </c>
      <c r="FQ7" s="1">
        <v>0</v>
      </c>
      <c r="FR7" s="1">
        <v>0</v>
      </c>
      <c r="FS7" s="1">
        <v>0</v>
      </c>
      <c r="FT7" s="1">
        <v>0</v>
      </c>
      <c r="FU7" s="1">
        <v>0</v>
      </c>
      <c r="FV7" s="1">
        <v>0</v>
      </c>
      <c r="FW7" s="1">
        <v>0</v>
      </c>
      <c r="FX7" s="1">
        <v>0</v>
      </c>
      <c r="FY7" s="1">
        <v>0</v>
      </c>
      <c r="FZ7" s="1">
        <v>0</v>
      </c>
      <c r="GA7" s="1">
        <v>0</v>
      </c>
      <c r="GB7" s="1">
        <v>0</v>
      </c>
      <c r="GC7" s="1">
        <v>0</v>
      </c>
      <c r="GD7" s="1">
        <v>0</v>
      </c>
      <c r="GE7" s="1">
        <v>0</v>
      </c>
      <c r="GF7" s="1">
        <v>0</v>
      </c>
      <c r="GG7" s="1">
        <v>0</v>
      </c>
      <c r="GH7" s="1">
        <v>0</v>
      </c>
      <c r="GI7" s="1">
        <v>0</v>
      </c>
      <c r="GJ7" s="1">
        <v>0</v>
      </c>
      <c r="GK7" s="1">
        <v>0</v>
      </c>
      <c r="GL7" s="1">
        <v>0</v>
      </c>
      <c r="GM7" s="1">
        <v>0</v>
      </c>
      <c r="GN7" s="1">
        <v>0</v>
      </c>
      <c r="GO7" s="1">
        <v>0</v>
      </c>
      <c r="GP7" s="1">
        <v>0</v>
      </c>
      <c r="GQ7" s="1">
        <v>0</v>
      </c>
      <c r="GR7" s="1">
        <v>0</v>
      </c>
      <c r="GS7" s="1">
        <v>0</v>
      </c>
      <c r="GT7" s="1">
        <v>0</v>
      </c>
      <c r="GU7" s="1">
        <v>0</v>
      </c>
      <c r="GV7" s="1">
        <v>0</v>
      </c>
      <c r="GW7" s="1">
        <v>0</v>
      </c>
      <c r="GX7" s="1">
        <v>0</v>
      </c>
      <c r="GY7" s="1">
        <v>0</v>
      </c>
      <c r="GZ7" s="1">
        <v>0</v>
      </c>
      <c r="HA7" s="1">
        <v>0</v>
      </c>
      <c r="HB7" s="1">
        <v>0</v>
      </c>
      <c r="HC7" s="1">
        <v>0</v>
      </c>
      <c r="HD7" s="1">
        <v>0</v>
      </c>
      <c r="HE7" s="1">
        <v>0</v>
      </c>
      <c r="HF7" s="1">
        <v>0</v>
      </c>
      <c r="HG7" s="1">
        <v>0</v>
      </c>
      <c r="HH7" s="1">
        <v>0</v>
      </c>
      <c r="HI7" s="1">
        <v>0</v>
      </c>
      <c r="HJ7" s="1">
        <v>0</v>
      </c>
      <c r="HK7" s="1">
        <v>0</v>
      </c>
      <c r="HL7" s="1">
        <v>0</v>
      </c>
      <c r="HM7" s="1">
        <v>0</v>
      </c>
      <c r="HN7" s="1">
        <v>0</v>
      </c>
      <c r="HO7" s="1">
        <v>0</v>
      </c>
      <c r="HP7" s="1">
        <v>0</v>
      </c>
      <c r="HQ7" s="1">
        <v>0</v>
      </c>
      <c r="HR7" s="1">
        <v>0</v>
      </c>
      <c r="HS7" s="1">
        <v>0</v>
      </c>
      <c r="HT7" s="1">
        <v>0</v>
      </c>
      <c r="HU7" s="1">
        <v>0</v>
      </c>
      <c r="HV7" s="1">
        <v>0</v>
      </c>
      <c r="HW7" s="1">
        <v>0</v>
      </c>
      <c r="HX7" s="1">
        <v>0</v>
      </c>
      <c r="HY7" s="1">
        <v>0</v>
      </c>
      <c r="HZ7" s="1">
        <v>0</v>
      </c>
      <c r="IA7" s="1">
        <v>0</v>
      </c>
      <c r="IB7" s="1">
        <v>0</v>
      </c>
      <c r="IC7" s="1">
        <v>0</v>
      </c>
      <c r="ID7" s="1">
        <v>0</v>
      </c>
      <c r="IE7" s="1">
        <v>0</v>
      </c>
      <c r="IF7" s="1">
        <v>0</v>
      </c>
      <c r="IG7" s="1">
        <v>0</v>
      </c>
      <c r="IH7" s="1">
        <v>0</v>
      </c>
      <c r="II7" s="1">
        <v>0</v>
      </c>
      <c r="IJ7" s="1">
        <v>0</v>
      </c>
      <c r="IK7" s="1">
        <v>0</v>
      </c>
      <c r="IL7" s="1">
        <v>0</v>
      </c>
      <c r="IM7" s="1">
        <v>0</v>
      </c>
      <c r="IN7" s="1">
        <v>0</v>
      </c>
      <c r="IO7" s="1">
        <v>0</v>
      </c>
      <c r="IP7" s="1">
        <v>0</v>
      </c>
      <c r="IQ7" s="1">
        <v>0</v>
      </c>
      <c r="IR7" s="1">
        <v>0</v>
      </c>
      <c r="IS7" s="1">
        <v>0</v>
      </c>
      <c r="IT7" s="1">
        <v>0</v>
      </c>
      <c r="IU7" s="1">
        <v>0</v>
      </c>
      <c r="IV7" s="1">
        <v>0</v>
      </c>
      <c r="IW7" s="1">
        <v>0</v>
      </c>
      <c r="IX7" s="1">
        <v>0</v>
      </c>
      <c r="IY7" s="1">
        <v>0</v>
      </c>
      <c r="IZ7" s="1">
        <v>0</v>
      </c>
      <c r="JA7" s="1">
        <v>0</v>
      </c>
      <c r="JB7" s="1">
        <v>0</v>
      </c>
      <c r="JC7" s="1">
        <v>0</v>
      </c>
      <c r="JD7" s="1">
        <v>0</v>
      </c>
      <c r="JE7" s="1">
        <v>0</v>
      </c>
      <c r="JF7" s="1">
        <v>0</v>
      </c>
      <c r="JG7" s="1">
        <v>0</v>
      </c>
      <c r="JH7" s="1">
        <v>0</v>
      </c>
      <c r="JI7" s="1">
        <v>0</v>
      </c>
      <c r="JJ7" s="1">
        <v>0</v>
      </c>
      <c r="JK7" s="1">
        <v>0</v>
      </c>
      <c r="JL7" s="1">
        <v>0</v>
      </c>
      <c r="JM7" s="1">
        <v>0</v>
      </c>
      <c r="JN7" s="1">
        <v>0</v>
      </c>
      <c r="JO7" s="1">
        <v>0</v>
      </c>
      <c r="JP7" s="1">
        <v>0</v>
      </c>
      <c r="JQ7" s="1">
        <v>0</v>
      </c>
      <c r="JR7" s="1">
        <v>0</v>
      </c>
      <c r="JS7" s="1">
        <v>0</v>
      </c>
      <c r="JT7" s="1">
        <v>0</v>
      </c>
      <c r="JU7" s="1">
        <v>0</v>
      </c>
      <c r="JV7" s="1">
        <v>0</v>
      </c>
      <c r="JW7" s="1">
        <v>0</v>
      </c>
      <c r="JX7" s="1">
        <v>0</v>
      </c>
      <c r="JY7" s="1">
        <v>0</v>
      </c>
      <c r="JZ7" s="1">
        <v>0</v>
      </c>
      <c r="KA7" s="1">
        <v>0</v>
      </c>
      <c r="KB7" s="1">
        <v>0</v>
      </c>
      <c r="KC7" s="1">
        <v>0</v>
      </c>
    </row>
    <row r="8" spans="1:289" x14ac:dyDescent="0.15">
      <c r="A8">
        <v>16</v>
      </c>
      <c r="B8" s="1">
        <v>13.22</v>
      </c>
      <c r="C8" s="1">
        <v>98.99</v>
      </c>
      <c r="D8" s="1">
        <v>0</v>
      </c>
      <c r="E8" s="1">
        <v>0</v>
      </c>
      <c r="F8" s="1">
        <v>0</v>
      </c>
      <c r="G8" s="1">
        <v>0</v>
      </c>
      <c r="H8" s="1">
        <v>64.349999999999994</v>
      </c>
      <c r="I8" s="1">
        <v>0</v>
      </c>
      <c r="J8" s="1">
        <v>0</v>
      </c>
      <c r="K8" s="1">
        <v>0</v>
      </c>
      <c r="L8" s="1">
        <v>0</v>
      </c>
      <c r="M8" s="1">
        <v>47.61</v>
      </c>
      <c r="N8" s="1">
        <v>0</v>
      </c>
      <c r="O8" s="1">
        <v>0</v>
      </c>
      <c r="P8" s="1">
        <v>0</v>
      </c>
      <c r="Q8" s="1">
        <v>0</v>
      </c>
      <c r="R8" s="1">
        <v>36.69</v>
      </c>
      <c r="S8" s="1">
        <v>0</v>
      </c>
      <c r="T8" s="1">
        <v>0</v>
      </c>
      <c r="U8" s="1">
        <v>0</v>
      </c>
      <c r="V8" s="1">
        <v>0</v>
      </c>
      <c r="W8" s="1">
        <v>29.45</v>
      </c>
      <c r="X8" s="1">
        <v>0</v>
      </c>
      <c r="Y8" s="1">
        <v>0</v>
      </c>
      <c r="Z8" s="1">
        <v>0</v>
      </c>
      <c r="AA8" s="1">
        <v>0</v>
      </c>
      <c r="AB8" s="1">
        <v>24.38</v>
      </c>
      <c r="AC8" s="1">
        <v>0</v>
      </c>
      <c r="AD8" s="1">
        <v>0</v>
      </c>
      <c r="AE8" s="1">
        <v>0</v>
      </c>
      <c r="AF8" s="1">
        <v>0</v>
      </c>
      <c r="AG8" s="1">
        <v>20.71</v>
      </c>
      <c r="AH8" s="1">
        <v>0</v>
      </c>
      <c r="AI8" s="1">
        <v>0</v>
      </c>
      <c r="AJ8" s="1">
        <v>0</v>
      </c>
      <c r="AK8" s="1">
        <v>0</v>
      </c>
      <c r="AL8" s="1">
        <v>18.04</v>
      </c>
      <c r="AM8" s="1">
        <v>0</v>
      </c>
      <c r="AN8" s="1">
        <v>0</v>
      </c>
      <c r="AO8" s="1">
        <v>0</v>
      </c>
      <c r="AP8" s="1">
        <v>0</v>
      </c>
      <c r="AQ8" s="1">
        <v>16.149999999999999</v>
      </c>
      <c r="AR8" s="1">
        <v>0</v>
      </c>
      <c r="AS8" s="1">
        <v>0</v>
      </c>
      <c r="AT8" s="1">
        <v>0</v>
      </c>
      <c r="AU8" s="1">
        <v>0</v>
      </c>
      <c r="AV8" s="1">
        <v>0</v>
      </c>
      <c r="AW8" s="1">
        <v>0</v>
      </c>
      <c r="AX8" s="1">
        <v>0</v>
      </c>
      <c r="AY8" s="1">
        <v>0</v>
      </c>
      <c r="AZ8" s="1">
        <v>0</v>
      </c>
      <c r="BA8" s="1">
        <v>0</v>
      </c>
      <c r="BB8" s="1">
        <v>0</v>
      </c>
      <c r="BC8" s="1">
        <v>0</v>
      </c>
      <c r="BD8" s="1">
        <v>0</v>
      </c>
      <c r="BE8" s="1">
        <v>0</v>
      </c>
      <c r="BF8" s="1">
        <v>0</v>
      </c>
      <c r="BG8" s="1">
        <v>0</v>
      </c>
      <c r="BH8" s="1">
        <v>0</v>
      </c>
      <c r="BI8" s="1">
        <v>0</v>
      </c>
      <c r="BJ8" s="1">
        <v>0</v>
      </c>
      <c r="BK8" s="1">
        <v>0</v>
      </c>
      <c r="BL8" s="1">
        <v>0</v>
      </c>
      <c r="BM8" s="1">
        <v>0</v>
      </c>
      <c r="BN8" s="1">
        <v>0</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0</v>
      </c>
      <c r="CI8" s="1">
        <v>0</v>
      </c>
      <c r="CJ8" s="1">
        <v>0</v>
      </c>
      <c r="CK8" s="1">
        <v>0</v>
      </c>
      <c r="CL8" s="1">
        <v>0</v>
      </c>
      <c r="CM8" s="1">
        <v>0</v>
      </c>
      <c r="CN8" s="1">
        <v>0</v>
      </c>
      <c r="CO8" s="1">
        <v>0</v>
      </c>
      <c r="CP8" s="1">
        <v>0</v>
      </c>
      <c r="CQ8" s="1">
        <v>0</v>
      </c>
      <c r="CR8" s="1">
        <v>0</v>
      </c>
      <c r="CS8" s="1">
        <v>0</v>
      </c>
      <c r="CT8" s="1">
        <v>0</v>
      </c>
      <c r="CU8" s="1">
        <v>0</v>
      </c>
      <c r="CV8" s="1">
        <v>0</v>
      </c>
      <c r="CW8" s="1">
        <v>0</v>
      </c>
      <c r="CX8" s="1">
        <v>0</v>
      </c>
      <c r="CY8" s="1">
        <v>0</v>
      </c>
      <c r="CZ8" s="1">
        <v>0</v>
      </c>
      <c r="DA8" s="1">
        <v>0</v>
      </c>
      <c r="DB8" s="1">
        <v>0</v>
      </c>
      <c r="DC8" s="1">
        <v>0</v>
      </c>
      <c r="DD8" s="1">
        <v>0</v>
      </c>
      <c r="DE8" s="1">
        <v>0</v>
      </c>
      <c r="DF8" s="1">
        <v>0</v>
      </c>
      <c r="DG8" s="1">
        <v>0</v>
      </c>
      <c r="DH8" s="1">
        <v>0</v>
      </c>
      <c r="DI8" s="1">
        <v>0</v>
      </c>
      <c r="DJ8" s="1">
        <v>0</v>
      </c>
      <c r="DK8" s="1">
        <v>0</v>
      </c>
      <c r="DL8" s="1">
        <v>0</v>
      </c>
      <c r="DM8" s="1">
        <v>0</v>
      </c>
      <c r="DN8" s="1">
        <v>0</v>
      </c>
      <c r="DO8" s="1">
        <v>0</v>
      </c>
      <c r="DP8" s="1">
        <v>0</v>
      </c>
      <c r="DQ8" s="1">
        <v>0</v>
      </c>
      <c r="DR8" s="1">
        <v>0</v>
      </c>
      <c r="DS8" s="1">
        <v>0</v>
      </c>
      <c r="DT8" s="1">
        <v>0</v>
      </c>
      <c r="DU8" s="1">
        <v>0</v>
      </c>
      <c r="DV8" s="1">
        <v>0</v>
      </c>
      <c r="DW8" s="1">
        <v>0</v>
      </c>
      <c r="DX8" s="1">
        <v>0</v>
      </c>
      <c r="DY8" s="1">
        <v>0</v>
      </c>
      <c r="DZ8" s="1">
        <v>0</v>
      </c>
      <c r="EA8" s="1">
        <v>0</v>
      </c>
      <c r="EB8" s="1">
        <v>0</v>
      </c>
      <c r="EC8" s="1">
        <v>0</v>
      </c>
      <c r="ED8" s="1">
        <v>0</v>
      </c>
      <c r="EE8" s="1">
        <v>0</v>
      </c>
      <c r="EF8" s="1">
        <v>0</v>
      </c>
      <c r="EG8" s="1">
        <v>0</v>
      </c>
      <c r="EH8" s="1">
        <v>0</v>
      </c>
      <c r="EI8" s="1">
        <v>0</v>
      </c>
      <c r="EJ8" s="1">
        <v>0</v>
      </c>
      <c r="EK8" s="1">
        <v>0</v>
      </c>
      <c r="EL8" s="1">
        <v>0</v>
      </c>
      <c r="EM8" s="1">
        <v>0</v>
      </c>
      <c r="EN8" s="1">
        <v>0</v>
      </c>
      <c r="EO8" s="1">
        <v>0</v>
      </c>
      <c r="EP8" s="1">
        <v>0</v>
      </c>
      <c r="EQ8" s="1">
        <v>0</v>
      </c>
      <c r="ER8" s="1">
        <v>0</v>
      </c>
      <c r="ES8" s="1">
        <v>0</v>
      </c>
      <c r="ET8" s="1">
        <v>0</v>
      </c>
      <c r="EU8" s="1">
        <v>0</v>
      </c>
      <c r="EV8" s="1">
        <v>0</v>
      </c>
      <c r="EW8" s="1">
        <v>0</v>
      </c>
      <c r="EX8" s="1">
        <v>0</v>
      </c>
      <c r="EY8" s="1">
        <v>0</v>
      </c>
      <c r="EZ8" s="1">
        <v>0</v>
      </c>
      <c r="FA8" s="1">
        <v>0</v>
      </c>
      <c r="FB8" s="1">
        <v>0</v>
      </c>
      <c r="FC8" s="1">
        <v>0</v>
      </c>
      <c r="FD8" s="1">
        <v>0</v>
      </c>
      <c r="FE8" s="1">
        <v>0</v>
      </c>
      <c r="FF8" s="1">
        <v>0</v>
      </c>
      <c r="FG8" s="1">
        <v>0</v>
      </c>
      <c r="FH8" s="1">
        <v>0</v>
      </c>
      <c r="FI8" s="1">
        <v>0</v>
      </c>
      <c r="FJ8" s="1">
        <v>0</v>
      </c>
      <c r="FK8" s="1">
        <v>0</v>
      </c>
      <c r="FL8" s="1">
        <v>0</v>
      </c>
      <c r="FM8" s="1">
        <v>0</v>
      </c>
      <c r="FN8" s="1">
        <v>0</v>
      </c>
      <c r="FO8" s="1">
        <v>0</v>
      </c>
      <c r="FP8" s="1">
        <v>0</v>
      </c>
      <c r="FQ8" s="1">
        <v>0</v>
      </c>
      <c r="FR8" s="1">
        <v>0</v>
      </c>
      <c r="FS8" s="1">
        <v>0</v>
      </c>
      <c r="FT8" s="1">
        <v>0</v>
      </c>
      <c r="FU8" s="1">
        <v>0</v>
      </c>
      <c r="FV8" s="1">
        <v>0</v>
      </c>
      <c r="FW8" s="1">
        <v>0</v>
      </c>
      <c r="FX8" s="1">
        <v>0</v>
      </c>
      <c r="FY8" s="1">
        <v>0</v>
      </c>
      <c r="FZ8" s="1">
        <v>0</v>
      </c>
      <c r="GA8" s="1">
        <v>0</v>
      </c>
      <c r="GB8" s="1">
        <v>0</v>
      </c>
      <c r="GC8" s="1">
        <v>0</v>
      </c>
      <c r="GD8" s="1">
        <v>0</v>
      </c>
      <c r="GE8" s="1">
        <v>0</v>
      </c>
      <c r="GF8" s="1">
        <v>0</v>
      </c>
      <c r="GG8" s="1">
        <v>0</v>
      </c>
      <c r="GH8" s="1">
        <v>0</v>
      </c>
      <c r="GI8" s="1">
        <v>0</v>
      </c>
      <c r="GJ8" s="1">
        <v>0</v>
      </c>
      <c r="GK8" s="1">
        <v>0</v>
      </c>
      <c r="GL8" s="1">
        <v>0</v>
      </c>
      <c r="GM8" s="1">
        <v>0</v>
      </c>
      <c r="GN8" s="1">
        <v>0</v>
      </c>
      <c r="GO8" s="1">
        <v>0</v>
      </c>
      <c r="GP8" s="1">
        <v>0</v>
      </c>
      <c r="GQ8" s="1">
        <v>0</v>
      </c>
      <c r="GR8" s="1">
        <v>0</v>
      </c>
      <c r="GS8" s="1">
        <v>0</v>
      </c>
      <c r="GT8" s="1">
        <v>0</v>
      </c>
      <c r="GU8" s="1">
        <v>0</v>
      </c>
      <c r="GV8" s="1">
        <v>0</v>
      </c>
      <c r="GW8" s="1">
        <v>0</v>
      </c>
      <c r="GX8" s="1">
        <v>0</v>
      </c>
      <c r="GY8" s="1">
        <v>0</v>
      </c>
      <c r="GZ8" s="1">
        <v>0</v>
      </c>
      <c r="HA8" s="1">
        <v>0</v>
      </c>
      <c r="HB8" s="1">
        <v>0</v>
      </c>
      <c r="HC8" s="1">
        <v>0</v>
      </c>
      <c r="HD8" s="1">
        <v>0</v>
      </c>
      <c r="HE8" s="1">
        <v>0</v>
      </c>
      <c r="HF8" s="1">
        <v>0</v>
      </c>
      <c r="HG8" s="1">
        <v>0</v>
      </c>
      <c r="HH8" s="1">
        <v>0</v>
      </c>
      <c r="HI8" s="1">
        <v>0</v>
      </c>
      <c r="HJ8" s="1">
        <v>0</v>
      </c>
      <c r="HK8" s="1">
        <v>0</v>
      </c>
      <c r="HL8" s="1">
        <v>0</v>
      </c>
      <c r="HM8" s="1">
        <v>0</v>
      </c>
      <c r="HN8" s="1">
        <v>0</v>
      </c>
      <c r="HO8" s="1">
        <v>0</v>
      </c>
      <c r="HP8" s="1">
        <v>0</v>
      </c>
      <c r="HQ8" s="1">
        <v>0</v>
      </c>
      <c r="HR8" s="1">
        <v>0</v>
      </c>
      <c r="HS8" s="1">
        <v>0</v>
      </c>
      <c r="HT8" s="1">
        <v>0</v>
      </c>
      <c r="HU8" s="1">
        <v>0</v>
      </c>
      <c r="HV8" s="1">
        <v>0</v>
      </c>
      <c r="HW8" s="1">
        <v>0</v>
      </c>
      <c r="HX8" s="1">
        <v>0</v>
      </c>
      <c r="HY8" s="1">
        <v>0</v>
      </c>
      <c r="HZ8" s="1">
        <v>0</v>
      </c>
      <c r="IA8" s="1">
        <v>0</v>
      </c>
      <c r="IB8" s="1">
        <v>0</v>
      </c>
      <c r="IC8" s="1">
        <v>0</v>
      </c>
      <c r="ID8" s="1">
        <v>0</v>
      </c>
      <c r="IE8" s="1">
        <v>0</v>
      </c>
      <c r="IF8" s="1">
        <v>0</v>
      </c>
      <c r="IG8" s="1">
        <v>0</v>
      </c>
      <c r="IH8" s="1">
        <v>0</v>
      </c>
      <c r="II8" s="1">
        <v>0</v>
      </c>
      <c r="IJ8" s="1">
        <v>0</v>
      </c>
      <c r="IK8" s="1">
        <v>0</v>
      </c>
      <c r="IL8" s="1">
        <v>0</v>
      </c>
      <c r="IM8" s="1">
        <v>0</v>
      </c>
      <c r="IN8" s="1">
        <v>0</v>
      </c>
      <c r="IO8" s="1">
        <v>0</v>
      </c>
      <c r="IP8" s="1">
        <v>0</v>
      </c>
      <c r="IQ8" s="1">
        <v>0</v>
      </c>
      <c r="IR8" s="1">
        <v>0</v>
      </c>
      <c r="IS8" s="1">
        <v>0</v>
      </c>
      <c r="IT8" s="1">
        <v>0</v>
      </c>
      <c r="IU8" s="1">
        <v>0</v>
      </c>
      <c r="IV8" s="1">
        <v>0</v>
      </c>
      <c r="IW8" s="1">
        <v>0</v>
      </c>
      <c r="IX8" s="1">
        <v>0</v>
      </c>
      <c r="IY8" s="1">
        <v>0</v>
      </c>
      <c r="IZ8" s="1">
        <v>0</v>
      </c>
      <c r="JA8" s="1">
        <v>0</v>
      </c>
      <c r="JB8" s="1">
        <v>0</v>
      </c>
      <c r="JC8" s="1">
        <v>0</v>
      </c>
      <c r="JD8" s="1">
        <v>0</v>
      </c>
      <c r="JE8" s="1">
        <v>0</v>
      </c>
      <c r="JF8" s="1">
        <v>0</v>
      </c>
      <c r="JG8" s="1">
        <v>0</v>
      </c>
      <c r="JH8" s="1">
        <v>0</v>
      </c>
      <c r="JI8" s="1">
        <v>0</v>
      </c>
      <c r="JJ8" s="1">
        <v>0</v>
      </c>
      <c r="JK8" s="1">
        <v>0</v>
      </c>
      <c r="JL8" s="1">
        <v>0</v>
      </c>
      <c r="JM8" s="1">
        <v>0</v>
      </c>
      <c r="JN8" s="1">
        <v>0</v>
      </c>
      <c r="JO8" s="1">
        <v>0</v>
      </c>
      <c r="JP8" s="1">
        <v>0</v>
      </c>
      <c r="JQ8" s="1">
        <v>0</v>
      </c>
      <c r="JR8" s="1">
        <v>0</v>
      </c>
      <c r="JS8" s="1">
        <v>0</v>
      </c>
      <c r="JT8" s="1">
        <v>0</v>
      </c>
      <c r="JU8" s="1">
        <v>0</v>
      </c>
      <c r="JV8" s="1">
        <v>0</v>
      </c>
      <c r="JW8" s="1">
        <v>0</v>
      </c>
      <c r="JX8" s="1">
        <v>0</v>
      </c>
      <c r="JY8" s="1">
        <v>0</v>
      </c>
      <c r="JZ8" s="1">
        <v>0</v>
      </c>
      <c r="KA8" s="1">
        <v>0</v>
      </c>
      <c r="KB8" s="1">
        <v>0</v>
      </c>
      <c r="KC8" s="1">
        <v>0</v>
      </c>
    </row>
    <row r="9" spans="1:289" x14ac:dyDescent="0.15">
      <c r="A9">
        <v>17</v>
      </c>
      <c r="B9" s="1">
        <v>13.6</v>
      </c>
      <c r="C9" s="1">
        <v>98.99</v>
      </c>
      <c r="D9" s="1">
        <v>0</v>
      </c>
      <c r="E9" s="1">
        <v>0</v>
      </c>
      <c r="F9" s="1">
        <v>0</v>
      </c>
      <c r="G9" s="1">
        <v>0</v>
      </c>
      <c r="H9" s="1">
        <v>64.37</v>
      </c>
      <c r="I9" s="1">
        <v>0</v>
      </c>
      <c r="J9" s="1">
        <v>0</v>
      </c>
      <c r="K9" s="1">
        <v>0</v>
      </c>
      <c r="L9" s="1">
        <v>0</v>
      </c>
      <c r="M9" s="1">
        <v>47.64</v>
      </c>
      <c r="N9" s="1">
        <v>0</v>
      </c>
      <c r="O9" s="1">
        <v>0</v>
      </c>
      <c r="P9" s="1">
        <v>0</v>
      </c>
      <c r="Q9" s="1">
        <v>0</v>
      </c>
      <c r="R9" s="1">
        <v>36.72</v>
      </c>
      <c r="S9" s="1">
        <v>0</v>
      </c>
      <c r="T9" s="1">
        <v>0</v>
      </c>
      <c r="U9" s="1">
        <v>0</v>
      </c>
      <c r="V9" s="1">
        <v>0</v>
      </c>
      <c r="W9" s="1">
        <v>29.5</v>
      </c>
      <c r="X9" s="1">
        <v>0</v>
      </c>
      <c r="Y9" s="1">
        <v>0</v>
      </c>
      <c r="Z9" s="1">
        <v>0</v>
      </c>
      <c r="AA9" s="1">
        <v>0</v>
      </c>
      <c r="AB9" s="1">
        <v>24.44</v>
      </c>
      <c r="AC9" s="1">
        <v>0</v>
      </c>
      <c r="AD9" s="1">
        <v>0</v>
      </c>
      <c r="AE9" s="1">
        <v>0</v>
      </c>
      <c r="AF9" s="1">
        <v>0</v>
      </c>
      <c r="AG9" s="1">
        <v>20.8</v>
      </c>
      <c r="AH9" s="1">
        <v>0</v>
      </c>
      <c r="AI9" s="1">
        <v>0</v>
      </c>
      <c r="AJ9" s="1">
        <v>0</v>
      </c>
      <c r="AK9" s="1">
        <v>0</v>
      </c>
      <c r="AL9" s="1">
        <v>18.18</v>
      </c>
      <c r="AM9" s="1">
        <v>0</v>
      </c>
      <c r="AN9" s="1">
        <v>0</v>
      </c>
      <c r="AO9" s="1">
        <v>0</v>
      </c>
      <c r="AP9" s="1">
        <v>0</v>
      </c>
      <c r="AQ9" s="1">
        <v>16.329999999999998</v>
      </c>
      <c r="AR9" s="1">
        <v>0</v>
      </c>
      <c r="AS9" s="1">
        <v>0</v>
      </c>
      <c r="AT9" s="1">
        <v>0</v>
      </c>
      <c r="AU9" s="1">
        <v>0</v>
      </c>
      <c r="AV9" s="1">
        <v>0</v>
      </c>
      <c r="AW9" s="1">
        <v>0</v>
      </c>
      <c r="AX9" s="1">
        <v>0</v>
      </c>
      <c r="AY9" s="1">
        <v>0</v>
      </c>
      <c r="AZ9" s="1">
        <v>0</v>
      </c>
      <c r="BA9" s="1">
        <v>0</v>
      </c>
      <c r="BB9" s="1">
        <v>0</v>
      </c>
      <c r="BC9" s="1">
        <v>0</v>
      </c>
      <c r="BD9" s="1">
        <v>0</v>
      </c>
      <c r="BE9" s="1">
        <v>0</v>
      </c>
      <c r="BF9" s="1">
        <v>0</v>
      </c>
      <c r="BG9" s="1">
        <v>0</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c r="DC9" s="1">
        <v>0</v>
      </c>
      <c r="DD9" s="1">
        <v>0</v>
      </c>
      <c r="DE9" s="1">
        <v>0</v>
      </c>
      <c r="DF9" s="1">
        <v>0</v>
      </c>
      <c r="DG9" s="1">
        <v>0</v>
      </c>
      <c r="DH9" s="1">
        <v>0</v>
      </c>
      <c r="DI9" s="1">
        <v>0</v>
      </c>
      <c r="DJ9" s="1">
        <v>0</v>
      </c>
      <c r="DK9" s="1">
        <v>0</v>
      </c>
      <c r="DL9" s="1">
        <v>0</v>
      </c>
      <c r="DM9" s="1">
        <v>0</v>
      </c>
      <c r="DN9" s="1">
        <v>0</v>
      </c>
      <c r="DO9" s="1">
        <v>0</v>
      </c>
      <c r="DP9" s="1">
        <v>0</v>
      </c>
      <c r="DQ9" s="1">
        <v>0</v>
      </c>
      <c r="DR9" s="1">
        <v>0</v>
      </c>
      <c r="DS9" s="1">
        <v>0</v>
      </c>
      <c r="DT9" s="1">
        <v>0</v>
      </c>
      <c r="DU9" s="1">
        <v>0</v>
      </c>
      <c r="DV9" s="1">
        <v>0</v>
      </c>
      <c r="DW9" s="1">
        <v>0</v>
      </c>
      <c r="DX9" s="1">
        <v>0</v>
      </c>
      <c r="DY9" s="1">
        <v>0</v>
      </c>
      <c r="DZ9" s="1">
        <v>0</v>
      </c>
      <c r="EA9" s="1">
        <v>0</v>
      </c>
      <c r="EB9" s="1">
        <v>0</v>
      </c>
      <c r="EC9" s="1">
        <v>0</v>
      </c>
      <c r="ED9" s="1">
        <v>0</v>
      </c>
      <c r="EE9" s="1">
        <v>0</v>
      </c>
      <c r="EF9" s="1">
        <v>0</v>
      </c>
      <c r="EG9" s="1">
        <v>0</v>
      </c>
      <c r="EH9" s="1">
        <v>0</v>
      </c>
      <c r="EI9" s="1">
        <v>0</v>
      </c>
      <c r="EJ9" s="1">
        <v>0</v>
      </c>
      <c r="EK9" s="1">
        <v>0</v>
      </c>
      <c r="EL9" s="1">
        <v>0</v>
      </c>
      <c r="EM9" s="1">
        <v>0</v>
      </c>
      <c r="EN9" s="1">
        <v>0</v>
      </c>
      <c r="EO9" s="1">
        <v>0</v>
      </c>
      <c r="EP9" s="1">
        <v>0</v>
      </c>
      <c r="EQ9" s="1">
        <v>0</v>
      </c>
      <c r="ER9" s="1">
        <v>0</v>
      </c>
      <c r="ES9" s="1">
        <v>0</v>
      </c>
      <c r="ET9" s="1">
        <v>0</v>
      </c>
      <c r="EU9" s="1">
        <v>0</v>
      </c>
      <c r="EV9" s="1">
        <v>0</v>
      </c>
      <c r="EW9" s="1">
        <v>0</v>
      </c>
      <c r="EX9" s="1">
        <v>0</v>
      </c>
      <c r="EY9" s="1">
        <v>0</v>
      </c>
      <c r="EZ9" s="1">
        <v>0</v>
      </c>
      <c r="FA9" s="1">
        <v>0</v>
      </c>
      <c r="FB9" s="1">
        <v>0</v>
      </c>
      <c r="FC9" s="1">
        <v>0</v>
      </c>
      <c r="FD9" s="1">
        <v>0</v>
      </c>
      <c r="FE9" s="1">
        <v>0</v>
      </c>
      <c r="FF9" s="1">
        <v>0</v>
      </c>
      <c r="FG9" s="1">
        <v>0</v>
      </c>
      <c r="FH9" s="1">
        <v>0</v>
      </c>
      <c r="FI9" s="1">
        <v>0</v>
      </c>
      <c r="FJ9" s="1">
        <v>0</v>
      </c>
      <c r="FK9" s="1">
        <v>0</v>
      </c>
      <c r="FL9" s="1">
        <v>0</v>
      </c>
      <c r="FM9" s="1">
        <v>0</v>
      </c>
      <c r="FN9" s="1">
        <v>0</v>
      </c>
      <c r="FO9" s="1">
        <v>0</v>
      </c>
      <c r="FP9" s="1">
        <v>0</v>
      </c>
      <c r="FQ9" s="1">
        <v>0</v>
      </c>
      <c r="FR9" s="1">
        <v>0</v>
      </c>
      <c r="FS9" s="1">
        <v>0</v>
      </c>
      <c r="FT9" s="1">
        <v>0</v>
      </c>
      <c r="FU9" s="1">
        <v>0</v>
      </c>
      <c r="FV9" s="1">
        <v>0</v>
      </c>
      <c r="FW9" s="1">
        <v>0</v>
      </c>
      <c r="FX9" s="1">
        <v>0</v>
      </c>
      <c r="FY9" s="1">
        <v>0</v>
      </c>
      <c r="FZ9" s="1">
        <v>0</v>
      </c>
      <c r="GA9" s="1">
        <v>0</v>
      </c>
      <c r="GB9" s="1">
        <v>0</v>
      </c>
      <c r="GC9" s="1">
        <v>0</v>
      </c>
      <c r="GD9" s="1">
        <v>0</v>
      </c>
      <c r="GE9" s="1">
        <v>0</v>
      </c>
      <c r="GF9" s="1">
        <v>0</v>
      </c>
      <c r="GG9" s="1">
        <v>0</v>
      </c>
      <c r="GH9" s="1">
        <v>0</v>
      </c>
      <c r="GI9" s="1">
        <v>0</v>
      </c>
      <c r="GJ9" s="1">
        <v>0</v>
      </c>
      <c r="GK9" s="1">
        <v>0</v>
      </c>
      <c r="GL9" s="1">
        <v>0</v>
      </c>
      <c r="GM9" s="1">
        <v>0</v>
      </c>
      <c r="GN9" s="1">
        <v>0</v>
      </c>
      <c r="GO9" s="1">
        <v>0</v>
      </c>
      <c r="GP9" s="1">
        <v>0</v>
      </c>
      <c r="GQ9" s="1">
        <v>0</v>
      </c>
      <c r="GR9" s="1">
        <v>0</v>
      </c>
      <c r="GS9" s="1">
        <v>0</v>
      </c>
      <c r="GT9" s="1">
        <v>0</v>
      </c>
      <c r="GU9" s="1">
        <v>0</v>
      </c>
      <c r="GV9" s="1">
        <v>0</v>
      </c>
      <c r="GW9" s="1">
        <v>0</v>
      </c>
      <c r="GX9" s="1">
        <v>0</v>
      </c>
      <c r="GY9" s="1">
        <v>0</v>
      </c>
      <c r="GZ9" s="1">
        <v>0</v>
      </c>
      <c r="HA9" s="1">
        <v>0</v>
      </c>
      <c r="HB9" s="1">
        <v>0</v>
      </c>
      <c r="HC9" s="1">
        <v>0</v>
      </c>
      <c r="HD9" s="1">
        <v>0</v>
      </c>
      <c r="HE9" s="1">
        <v>0</v>
      </c>
      <c r="HF9" s="1">
        <v>0</v>
      </c>
      <c r="HG9" s="1">
        <v>0</v>
      </c>
      <c r="HH9" s="1">
        <v>0</v>
      </c>
      <c r="HI9" s="1">
        <v>0</v>
      </c>
      <c r="HJ9" s="1">
        <v>0</v>
      </c>
      <c r="HK9" s="1">
        <v>0</v>
      </c>
      <c r="HL9" s="1">
        <v>0</v>
      </c>
      <c r="HM9" s="1">
        <v>0</v>
      </c>
      <c r="HN9" s="1">
        <v>0</v>
      </c>
      <c r="HO9" s="1">
        <v>0</v>
      </c>
      <c r="HP9" s="1">
        <v>0</v>
      </c>
      <c r="HQ9" s="1">
        <v>0</v>
      </c>
      <c r="HR9" s="1">
        <v>0</v>
      </c>
      <c r="HS9" s="1">
        <v>0</v>
      </c>
      <c r="HT9" s="1">
        <v>0</v>
      </c>
      <c r="HU9" s="1">
        <v>0</v>
      </c>
      <c r="HV9" s="1">
        <v>0</v>
      </c>
      <c r="HW9" s="1">
        <v>0</v>
      </c>
      <c r="HX9" s="1">
        <v>0</v>
      </c>
      <c r="HY9" s="1">
        <v>0</v>
      </c>
      <c r="HZ9" s="1">
        <v>0</v>
      </c>
      <c r="IA9" s="1">
        <v>0</v>
      </c>
      <c r="IB9" s="1">
        <v>0</v>
      </c>
      <c r="IC9" s="1">
        <v>0</v>
      </c>
      <c r="ID9" s="1">
        <v>0</v>
      </c>
      <c r="IE9" s="1">
        <v>0</v>
      </c>
      <c r="IF9" s="1">
        <v>0</v>
      </c>
      <c r="IG9" s="1">
        <v>0</v>
      </c>
      <c r="IH9" s="1">
        <v>0</v>
      </c>
      <c r="II9" s="1">
        <v>0</v>
      </c>
      <c r="IJ9" s="1">
        <v>0</v>
      </c>
      <c r="IK9" s="1">
        <v>0</v>
      </c>
      <c r="IL9" s="1">
        <v>0</v>
      </c>
      <c r="IM9" s="1">
        <v>0</v>
      </c>
      <c r="IN9" s="1">
        <v>0</v>
      </c>
      <c r="IO9" s="1">
        <v>0</v>
      </c>
      <c r="IP9" s="1">
        <v>0</v>
      </c>
      <c r="IQ9" s="1">
        <v>0</v>
      </c>
      <c r="IR9" s="1">
        <v>0</v>
      </c>
      <c r="IS9" s="1">
        <v>0</v>
      </c>
      <c r="IT9" s="1">
        <v>0</v>
      </c>
      <c r="IU9" s="1">
        <v>0</v>
      </c>
      <c r="IV9" s="1">
        <v>0</v>
      </c>
      <c r="IW9" s="1">
        <v>0</v>
      </c>
      <c r="IX9" s="1">
        <v>0</v>
      </c>
      <c r="IY9" s="1">
        <v>0</v>
      </c>
      <c r="IZ9" s="1">
        <v>0</v>
      </c>
      <c r="JA9" s="1">
        <v>0</v>
      </c>
      <c r="JB9" s="1">
        <v>0</v>
      </c>
      <c r="JC9" s="1">
        <v>0</v>
      </c>
      <c r="JD9" s="1">
        <v>0</v>
      </c>
      <c r="JE9" s="1">
        <v>0</v>
      </c>
      <c r="JF9" s="1">
        <v>0</v>
      </c>
      <c r="JG9" s="1">
        <v>0</v>
      </c>
      <c r="JH9" s="1">
        <v>0</v>
      </c>
      <c r="JI9" s="1">
        <v>0</v>
      </c>
      <c r="JJ9" s="1">
        <v>0</v>
      </c>
      <c r="JK9" s="1">
        <v>0</v>
      </c>
      <c r="JL9" s="1">
        <v>0</v>
      </c>
      <c r="JM9" s="1">
        <v>0</v>
      </c>
      <c r="JN9" s="1">
        <v>0</v>
      </c>
      <c r="JO9" s="1">
        <v>0</v>
      </c>
      <c r="JP9" s="1">
        <v>0</v>
      </c>
      <c r="JQ9" s="1">
        <v>0</v>
      </c>
      <c r="JR9" s="1">
        <v>0</v>
      </c>
      <c r="JS9" s="1">
        <v>0</v>
      </c>
      <c r="JT9" s="1">
        <v>0</v>
      </c>
      <c r="JU9" s="1">
        <v>0</v>
      </c>
      <c r="JV9" s="1">
        <v>0</v>
      </c>
      <c r="JW9" s="1">
        <v>0</v>
      </c>
      <c r="JX9" s="1">
        <v>0</v>
      </c>
      <c r="JY9" s="1">
        <v>0</v>
      </c>
      <c r="JZ9" s="1">
        <v>0</v>
      </c>
      <c r="KA9" s="1">
        <v>0</v>
      </c>
      <c r="KB9" s="1">
        <v>0</v>
      </c>
      <c r="KC9" s="1">
        <v>0</v>
      </c>
    </row>
    <row r="10" spans="1:289" x14ac:dyDescent="0.15">
      <c r="A10">
        <v>18</v>
      </c>
      <c r="B10" s="1">
        <v>13.99</v>
      </c>
      <c r="C10" s="1">
        <v>99.01</v>
      </c>
      <c r="D10" s="1">
        <v>0</v>
      </c>
      <c r="E10" s="1">
        <v>0</v>
      </c>
      <c r="F10" s="1">
        <v>0</v>
      </c>
      <c r="G10" s="1">
        <v>0</v>
      </c>
      <c r="H10" s="1">
        <v>64.39</v>
      </c>
      <c r="I10" s="1">
        <v>0</v>
      </c>
      <c r="J10" s="1">
        <v>0</v>
      </c>
      <c r="K10" s="1">
        <v>0</v>
      </c>
      <c r="L10" s="1">
        <v>0</v>
      </c>
      <c r="M10" s="1">
        <v>47.66</v>
      </c>
      <c r="N10" s="1">
        <v>0</v>
      </c>
      <c r="O10" s="1">
        <v>0</v>
      </c>
      <c r="P10" s="1">
        <v>0</v>
      </c>
      <c r="Q10" s="1">
        <v>0</v>
      </c>
      <c r="R10" s="1">
        <v>36.75</v>
      </c>
      <c r="S10" s="1">
        <v>0</v>
      </c>
      <c r="T10" s="1">
        <v>0</v>
      </c>
      <c r="U10" s="1">
        <v>0</v>
      </c>
      <c r="V10" s="1">
        <v>0</v>
      </c>
      <c r="W10" s="1">
        <v>29.55</v>
      </c>
      <c r="X10" s="1">
        <v>0</v>
      </c>
      <c r="Y10" s="1">
        <v>0</v>
      </c>
      <c r="Z10" s="1">
        <v>0</v>
      </c>
      <c r="AA10" s="1">
        <v>0</v>
      </c>
      <c r="AB10" s="1">
        <v>24.51</v>
      </c>
      <c r="AC10" s="1">
        <v>0</v>
      </c>
      <c r="AD10" s="1">
        <v>0</v>
      </c>
      <c r="AE10" s="1">
        <v>0</v>
      </c>
      <c r="AF10" s="1">
        <v>0</v>
      </c>
      <c r="AG10" s="1">
        <v>20.91</v>
      </c>
      <c r="AH10" s="1">
        <v>0</v>
      </c>
      <c r="AI10" s="1">
        <v>0</v>
      </c>
      <c r="AJ10" s="1">
        <v>0</v>
      </c>
      <c r="AK10" s="1">
        <v>0</v>
      </c>
      <c r="AL10" s="1">
        <v>18.329999999999998</v>
      </c>
      <c r="AM10" s="1">
        <v>0</v>
      </c>
      <c r="AN10" s="1">
        <v>0</v>
      </c>
      <c r="AO10" s="1">
        <v>0</v>
      </c>
      <c r="AP10" s="1">
        <v>0</v>
      </c>
      <c r="AQ10" s="1">
        <v>16.54</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0</v>
      </c>
      <c r="CU10" s="1">
        <v>0</v>
      </c>
      <c r="CV10" s="1">
        <v>0</v>
      </c>
      <c r="CW10" s="1">
        <v>0</v>
      </c>
      <c r="CX10" s="1">
        <v>0</v>
      </c>
      <c r="CY10" s="1">
        <v>0</v>
      </c>
      <c r="CZ10" s="1">
        <v>0</v>
      </c>
      <c r="DA10" s="1">
        <v>0</v>
      </c>
      <c r="DB10" s="1">
        <v>0</v>
      </c>
      <c r="DC10" s="1">
        <v>0</v>
      </c>
      <c r="DD10" s="1">
        <v>0</v>
      </c>
      <c r="DE10" s="1">
        <v>0</v>
      </c>
      <c r="DF10" s="1">
        <v>0</v>
      </c>
      <c r="DG10" s="1">
        <v>0</v>
      </c>
      <c r="DH10" s="1">
        <v>0</v>
      </c>
      <c r="DI10" s="1">
        <v>0</v>
      </c>
      <c r="DJ10" s="1">
        <v>0</v>
      </c>
      <c r="DK10" s="1">
        <v>0</v>
      </c>
      <c r="DL10" s="1">
        <v>0</v>
      </c>
      <c r="DM10" s="1">
        <v>0</v>
      </c>
      <c r="DN10" s="1">
        <v>0</v>
      </c>
      <c r="DO10" s="1">
        <v>0</v>
      </c>
      <c r="DP10" s="1">
        <v>0</v>
      </c>
      <c r="DQ10" s="1">
        <v>0</v>
      </c>
      <c r="DR10" s="1">
        <v>0</v>
      </c>
      <c r="DS10" s="1">
        <v>0</v>
      </c>
      <c r="DT10" s="1">
        <v>0</v>
      </c>
      <c r="DU10" s="1">
        <v>0</v>
      </c>
      <c r="DV10" s="1">
        <v>0</v>
      </c>
      <c r="DW10" s="1">
        <v>0</v>
      </c>
      <c r="DX10" s="1">
        <v>0</v>
      </c>
      <c r="DY10" s="1">
        <v>0</v>
      </c>
      <c r="DZ10" s="1">
        <v>0</v>
      </c>
      <c r="EA10" s="1">
        <v>0</v>
      </c>
      <c r="EB10" s="1">
        <v>0</v>
      </c>
      <c r="EC10" s="1">
        <v>0</v>
      </c>
      <c r="ED10" s="1">
        <v>0</v>
      </c>
      <c r="EE10" s="1">
        <v>0</v>
      </c>
      <c r="EF10" s="1">
        <v>0</v>
      </c>
      <c r="EG10" s="1">
        <v>0</v>
      </c>
      <c r="EH10" s="1">
        <v>0</v>
      </c>
      <c r="EI10" s="1">
        <v>0</v>
      </c>
      <c r="EJ10" s="1">
        <v>0</v>
      </c>
      <c r="EK10" s="1">
        <v>0</v>
      </c>
      <c r="EL10" s="1">
        <v>0</v>
      </c>
      <c r="EM10" s="1">
        <v>0</v>
      </c>
      <c r="EN10" s="1">
        <v>0</v>
      </c>
      <c r="EO10" s="1">
        <v>0</v>
      </c>
      <c r="EP10" s="1">
        <v>0</v>
      </c>
      <c r="EQ10" s="1">
        <v>0</v>
      </c>
      <c r="ER10" s="1">
        <v>0</v>
      </c>
      <c r="ES10" s="1">
        <v>0</v>
      </c>
      <c r="ET10" s="1">
        <v>0</v>
      </c>
      <c r="EU10" s="1">
        <v>0</v>
      </c>
      <c r="EV10" s="1">
        <v>0</v>
      </c>
      <c r="EW10" s="1">
        <v>0</v>
      </c>
      <c r="EX10" s="1">
        <v>0</v>
      </c>
      <c r="EY10" s="1">
        <v>0</v>
      </c>
      <c r="EZ10" s="1">
        <v>0</v>
      </c>
      <c r="FA10" s="1">
        <v>0</v>
      </c>
      <c r="FB10" s="1">
        <v>0</v>
      </c>
      <c r="FC10" s="1">
        <v>0</v>
      </c>
      <c r="FD10" s="1">
        <v>0</v>
      </c>
      <c r="FE10" s="1">
        <v>0</v>
      </c>
      <c r="FF10" s="1">
        <v>0</v>
      </c>
      <c r="FG10" s="1">
        <v>0</v>
      </c>
      <c r="FH10" s="1">
        <v>0</v>
      </c>
      <c r="FI10" s="1">
        <v>0</v>
      </c>
      <c r="FJ10" s="1">
        <v>0</v>
      </c>
      <c r="FK10" s="1">
        <v>0</v>
      </c>
      <c r="FL10" s="1">
        <v>0</v>
      </c>
      <c r="FM10" s="1">
        <v>0</v>
      </c>
      <c r="FN10" s="1">
        <v>0</v>
      </c>
      <c r="FO10" s="1">
        <v>0</v>
      </c>
      <c r="FP10" s="1">
        <v>0</v>
      </c>
      <c r="FQ10" s="1">
        <v>0</v>
      </c>
      <c r="FR10" s="1">
        <v>0</v>
      </c>
      <c r="FS10" s="1">
        <v>0</v>
      </c>
      <c r="FT10" s="1">
        <v>0</v>
      </c>
      <c r="FU10" s="1">
        <v>0</v>
      </c>
      <c r="FV10" s="1">
        <v>0</v>
      </c>
      <c r="FW10" s="1">
        <v>0</v>
      </c>
      <c r="FX10" s="1">
        <v>0</v>
      </c>
      <c r="FY10" s="1">
        <v>0</v>
      </c>
      <c r="FZ10" s="1">
        <v>0</v>
      </c>
      <c r="GA10" s="1">
        <v>0</v>
      </c>
      <c r="GB10" s="1">
        <v>0</v>
      </c>
      <c r="GC10" s="1">
        <v>0</v>
      </c>
      <c r="GD10" s="1">
        <v>0</v>
      </c>
      <c r="GE10" s="1">
        <v>0</v>
      </c>
      <c r="GF10" s="1">
        <v>0</v>
      </c>
      <c r="GG10" s="1">
        <v>0</v>
      </c>
      <c r="GH10" s="1">
        <v>0</v>
      </c>
      <c r="GI10" s="1">
        <v>0</v>
      </c>
      <c r="GJ10" s="1">
        <v>0</v>
      </c>
      <c r="GK10" s="1">
        <v>0</v>
      </c>
      <c r="GL10" s="1">
        <v>0</v>
      </c>
      <c r="GM10" s="1">
        <v>0</v>
      </c>
      <c r="GN10" s="1">
        <v>0</v>
      </c>
      <c r="GO10" s="1">
        <v>0</v>
      </c>
      <c r="GP10" s="1">
        <v>0</v>
      </c>
      <c r="GQ10" s="1">
        <v>0</v>
      </c>
      <c r="GR10" s="1">
        <v>0</v>
      </c>
      <c r="GS10" s="1">
        <v>0</v>
      </c>
      <c r="GT10" s="1">
        <v>0</v>
      </c>
      <c r="GU10" s="1">
        <v>0</v>
      </c>
      <c r="GV10" s="1">
        <v>0</v>
      </c>
      <c r="GW10" s="1">
        <v>0</v>
      </c>
      <c r="GX10" s="1">
        <v>0</v>
      </c>
      <c r="GY10" s="1">
        <v>0</v>
      </c>
      <c r="GZ10" s="1">
        <v>0</v>
      </c>
      <c r="HA10" s="1">
        <v>0</v>
      </c>
      <c r="HB10" s="1">
        <v>0</v>
      </c>
      <c r="HC10" s="1">
        <v>0</v>
      </c>
      <c r="HD10" s="1">
        <v>0</v>
      </c>
      <c r="HE10" s="1">
        <v>0</v>
      </c>
      <c r="HF10" s="1">
        <v>0</v>
      </c>
      <c r="HG10" s="1">
        <v>0</v>
      </c>
      <c r="HH10" s="1">
        <v>0</v>
      </c>
      <c r="HI10" s="1">
        <v>0</v>
      </c>
      <c r="HJ10" s="1">
        <v>0</v>
      </c>
      <c r="HK10" s="1">
        <v>0</v>
      </c>
      <c r="HL10" s="1">
        <v>0</v>
      </c>
      <c r="HM10" s="1">
        <v>0</v>
      </c>
      <c r="HN10" s="1">
        <v>0</v>
      </c>
      <c r="HO10" s="1">
        <v>0</v>
      </c>
      <c r="HP10" s="1">
        <v>0</v>
      </c>
      <c r="HQ10" s="1">
        <v>0</v>
      </c>
      <c r="HR10" s="1">
        <v>0</v>
      </c>
      <c r="HS10" s="1">
        <v>0</v>
      </c>
      <c r="HT10" s="1">
        <v>0</v>
      </c>
      <c r="HU10" s="1">
        <v>0</v>
      </c>
      <c r="HV10" s="1">
        <v>0</v>
      </c>
      <c r="HW10" s="1">
        <v>0</v>
      </c>
      <c r="HX10" s="1">
        <v>0</v>
      </c>
      <c r="HY10" s="1">
        <v>0</v>
      </c>
      <c r="HZ10" s="1">
        <v>0</v>
      </c>
      <c r="IA10" s="1">
        <v>0</v>
      </c>
      <c r="IB10" s="1">
        <v>0</v>
      </c>
      <c r="IC10" s="1">
        <v>0</v>
      </c>
      <c r="ID10" s="1">
        <v>0</v>
      </c>
      <c r="IE10" s="1">
        <v>0</v>
      </c>
      <c r="IF10" s="1">
        <v>0</v>
      </c>
      <c r="IG10" s="1">
        <v>0</v>
      </c>
      <c r="IH10" s="1">
        <v>250.7</v>
      </c>
      <c r="II10" s="1">
        <v>200.8</v>
      </c>
      <c r="IJ10" s="1">
        <v>0</v>
      </c>
      <c r="IK10" s="1">
        <v>0</v>
      </c>
      <c r="IL10" s="1">
        <v>0</v>
      </c>
      <c r="IM10" s="1">
        <v>0</v>
      </c>
      <c r="IN10" s="1">
        <v>0</v>
      </c>
      <c r="IO10" s="1">
        <v>0</v>
      </c>
      <c r="IP10" s="1">
        <v>0</v>
      </c>
      <c r="IQ10" s="1">
        <v>0</v>
      </c>
      <c r="IR10" s="1">
        <v>0</v>
      </c>
      <c r="IS10" s="1">
        <v>0</v>
      </c>
      <c r="IT10" s="1">
        <v>0</v>
      </c>
      <c r="IU10" s="1">
        <v>0</v>
      </c>
      <c r="IV10" s="1">
        <v>0</v>
      </c>
      <c r="IW10" s="1">
        <v>0</v>
      </c>
      <c r="IX10" s="1">
        <v>0</v>
      </c>
      <c r="IY10" s="1">
        <v>0</v>
      </c>
      <c r="IZ10" s="1">
        <v>0</v>
      </c>
      <c r="JA10" s="1">
        <v>0</v>
      </c>
      <c r="JB10" s="1">
        <v>0</v>
      </c>
      <c r="JC10" s="1">
        <v>0</v>
      </c>
      <c r="JD10" s="1">
        <v>0</v>
      </c>
      <c r="JE10" s="1">
        <v>0</v>
      </c>
      <c r="JF10" s="1">
        <v>0</v>
      </c>
      <c r="JG10" s="1">
        <v>0</v>
      </c>
      <c r="JH10" s="1">
        <v>0</v>
      </c>
      <c r="JI10" s="1">
        <v>0</v>
      </c>
      <c r="JJ10" s="1">
        <v>0</v>
      </c>
      <c r="JK10" s="1">
        <v>0</v>
      </c>
      <c r="JL10" s="1">
        <v>0</v>
      </c>
      <c r="JM10" s="1">
        <v>0</v>
      </c>
      <c r="JN10" s="1">
        <v>0</v>
      </c>
      <c r="JO10" s="1">
        <v>0</v>
      </c>
      <c r="JP10" s="1">
        <v>0</v>
      </c>
      <c r="JQ10" s="1">
        <v>0</v>
      </c>
      <c r="JR10" s="1">
        <v>0</v>
      </c>
      <c r="JS10" s="1">
        <v>0</v>
      </c>
      <c r="JT10" s="1">
        <v>0</v>
      </c>
      <c r="JU10" s="1">
        <v>0</v>
      </c>
      <c r="JV10" s="1">
        <v>0</v>
      </c>
      <c r="JW10" s="1">
        <v>0</v>
      </c>
      <c r="JX10" s="1">
        <v>0</v>
      </c>
      <c r="JY10" s="1">
        <v>0</v>
      </c>
      <c r="JZ10" s="1">
        <v>0</v>
      </c>
      <c r="KA10" s="1">
        <v>0</v>
      </c>
      <c r="KB10" s="1">
        <v>0</v>
      </c>
      <c r="KC10" s="1">
        <v>0</v>
      </c>
    </row>
    <row r="11" spans="1:289" x14ac:dyDescent="0.15">
      <c r="A11">
        <v>19</v>
      </c>
      <c r="B11" s="1">
        <v>14.4</v>
      </c>
      <c r="C11" s="1">
        <v>99.02</v>
      </c>
      <c r="D11" s="1">
        <v>0</v>
      </c>
      <c r="E11" s="1">
        <v>0</v>
      </c>
      <c r="F11" s="1">
        <v>0</v>
      </c>
      <c r="G11" s="1">
        <v>0</v>
      </c>
      <c r="H11" s="1">
        <v>64.41</v>
      </c>
      <c r="I11" s="1">
        <v>0</v>
      </c>
      <c r="J11" s="1">
        <v>0</v>
      </c>
      <c r="K11" s="1">
        <v>0</v>
      </c>
      <c r="L11" s="1">
        <v>0</v>
      </c>
      <c r="M11" s="1">
        <v>47.69</v>
      </c>
      <c r="N11" s="1">
        <v>0</v>
      </c>
      <c r="O11" s="1">
        <v>0</v>
      </c>
      <c r="P11" s="1">
        <v>0</v>
      </c>
      <c r="Q11" s="1">
        <v>0</v>
      </c>
      <c r="R11" s="1">
        <v>36.799999999999997</v>
      </c>
      <c r="S11" s="1">
        <v>0</v>
      </c>
      <c r="T11" s="1">
        <v>0</v>
      </c>
      <c r="U11" s="1">
        <v>0</v>
      </c>
      <c r="V11" s="1">
        <v>0</v>
      </c>
      <c r="W11" s="1">
        <v>29.61</v>
      </c>
      <c r="X11" s="1">
        <v>0</v>
      </c>
      <c r="Y11" s="1">
        <v>0</v>
      </c>
      <c r="Z11" s="1">
        <v>0</v>
      </c>
      <c r="AA11" s="1">
        <v>0</v>
      </c>
      <c r="AB11" s="1">
        <v>24.6</v>
      </c>
      <c r="AC11" s="1">
        <v>0</v>
      </c>
      <c r="AD11" s="1">
        <v>0</v>
      </c>
      <c r="AE11" s="1">
        <v>0</v>
      </c>
      <c r="AF11" s="1">
        <v>0</v>
      </c>
      <c r="AG11" s="1">
        <v>21.03</v>
      </c>
      <c r="AH11" s="1">
        <v>0</v>
      </c>
      <c r="AI11" s="1">
        <v>0</v>
      </c>
      <c r="AJ11" s="1">
        <v>0</v>
      </c>
      <c r="AK11" s="1">
        <v>0</v>
      </c>
      <c r="AL11" s="1">
        <v>18.5</v>
      </c>
      <c r="AM11" s="1">
        <v>0</v>
      </c>
      <c r="AN11" s="1">
        <v>0</v>
      </c>
      <c r="AO11" s="1">
        <v>0</v>
      </c>
      <c r="AP11" s="1">
        <v>0</v>
      </c>
      <c r="AQ11" s="1">
        <v>16.760000000000002</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c r="DC11" s="1">
        <v>0</v>
      </c>
      <c r="DD11" s="1">
        <v>0</v>
      </c>
      <c r="DE11" s="1">
        <v>0</v>
      </c>
      <c r="DF11" s="1">
        <v>0</v>
      </c>
      <c r="DG11" s="1">
        <v>0</v>
      </c>
      <c r="DH11" s="1">
        <v>0</v>
      </c>
      <c r="DI11" s="1">
        <v>0</v>
      </c>
      <c r="DJ11" s="1">
        <v>0</v>
      </c>
      <c r="DK11" s="1">
        <v>0</v>
      </c>
      <c r="DL11" s="1">
        <v>0</v>
      </c>
      <c r="DM11" s="1">
        <v>0</v>
      </c>
      <c r="DN11" s="1">
        <v>0</v>
      </c>
      <c r="DO11" s="1">
        <v>0</v>
      </c>
      <c r="DP11" s="1">
        <v>0</v>
      </c>
      <c r="DQ11" s="1">
        <v>0</v>
      </c>
      <c r="DR11" s="1">
        <v>0</v>
      </c>
      <c r="DS11" s="1">
        <v>0</v>
      </c>
      <c r="DT11" s="1">
        <v>0</v>
      </c>
      <c r="DU11" s="1">
        <v>0</v>
      </c>
      <c r="DV11" s="1">
        <v>0</v>
      </c>
      <c r="DW11" s="1">
        <v>0</v>
      </c>
      <c r="DX11" s="1">
        <v>0</v>
      </c>
      <c r="DY11" s="1">
        <v>0</v>
      </c>
      <c r="DZ11" s="1">
        <v>0</v>
      </c>
      <c r="EA11" s="1">
        <v>0</v>
      </c>
      <c r="EB11" s="1">
        <v>0</v>
      </c>
      <c r="EC11" s="1">
        <v>0</v>
      </c>
      <c r="ED11" s="1">
        <v>0</v>
      </c>
      <c r="EE11" s="1">
        <v>0</v>
      </c>
      <c r="EF11" s="1">
        <v>0</v>
      </c>
      <c r="EG11" s="1">
        <v>0</v>
      </c>
      <c r="EH11" s="1">
        <v>0</v>
      </c>
      <c r="EI11" s="1">
        <v>0</v>
      </c>
      <c r="EJ11" s="1">
        <v>0</v>
      </c>
      <c r="EK11" s="1">
        <v>0</v>
      </c>
      <c r="EL11" s="1">
        <v>0</v>
      </c>
      <c r="EM11" s="1">
        <v>0</v>
      </c>
      <c r="EN11" s="1">
        <v>0</v>
      </c>
      <c r="EO11" s="1">
        <v>0</v>
      </c>
      <c r="EP11" s="1">
        <v>0</v>
      </c>
      <c r="EQ11" s="1">
        <v>0</v>
      </c>
      <c r="ER11" s="1">
        <v>0</v>
      </c>
      <c r="ES11" s="1">
        <v>0</v>
      </c>
      <c r="ET11" s="1">
        <v>0</v>
      </c>
      <c r="EU11" s="1">
        <v>0</v>
      </c>
      <c r="EV11" s="1">
        <v>0</v>
      </c>
      <c r="EW11" s="1">
        <v>0</v>
      </c>
      <c r="EX11" s="1">
        <v>0</v>
      </c>
      <c r="EY11" s="1">
        <v>0</v>
      </c>
      <c r="EZ11" s="1">
        <v>0</v>
      </c>
      <c r="FA11" s="1">
        <v>0</v>
      </c>
      <c r="FB11" s="1">
        <v>0</v>
      </c>
      <c r="FC11" s="1">
        <v>0</v>
      </c>
      <c r="FD11" s="1">
        <v>0</v>
      </c>
      <c r="FE11" s="1">
        <v>0</v>
      </c>
      <c r="FF11" s="1">
        <v>0</v>
      </c>
      <c r="FG11" s="1">
        <v>0</v>
      </c>
      <c r="FH11" s="1">
        <v>0</v>
      </c>
      <c r="FI11" s="1">
        <v>0</v>
      </c>
      <c r="FJ11" s="1">
        <v>0</v>
      </c>
      <c r="FK11" s="1">
        <v>0</v>
      </c>
      <c r="FL11" s="1">
        <v>0</v>
      </c>
      <c r="FM11" s="1">
        <v>0</v>
      </c>
      <c r="FN11" s="1">
        <v>0</v>
      </c>
      <c r="FO11" s="1">
        <v>0</v>
      </c>
      <c r="FP11" s="1">
        <v>0</v>
      </c>
      <c r="FQ11" s="1">
        <v>0</v>
      </c>
      <c r="FR11" s="1">
        <v>0</v>
      </c>
      <c r="FS11" s="1">
        <v>0</v>
      </c>
      <c r="FT11" s="1">
        <v>0</v>
      </c>
      <c r="FU11" s="1">
        <v>0</v>
      </c>
      <c r="FV11" s="1">
        <v>0</v>
      </c>
      <c r="FW11" s="1">
        <v>0</v>
      </c>
      <c r="FX11" s="1">
        <v>0</v>
      </c>
      <c r="FY11" s="1">
        <v>0</v>
      </c>
      <c r="FZ11" s="1">
        <v>0</v>
      </c>
      <c r="GA11" s="1">
        <v>0</v>
      </c>
      <c r="GB11" s="1">
        <v>0</v>
      </c>
      <c r="GC11" s="1">
        <v>0</v>
      </c>
      <c r="GD11" s="1">
        <v>0</v>
      </c>
      <c r="GE11" s="1">
        <v>0</v>
      </c>
      <c r="GF11" s="1">
        <v>0</v>
      </c>
      <c r="GG11" s="1">
        <v>0</v>
      </c>
      <c r="GH11" s="1">
        <v>0</v>
      </c>
      <c r="GI11" s="1">
        <v>0</v>
      </c>
      <c r="GJ11" s="1">
        <v>0</v>
      </c>
      <c r="GK11" s="1">
        <v>0</v>
      </c>
      <c r="GL11" s="1">
        <v>0</v>
      </c>
      <c r="GM11" s="1">
        <v>0</v>
      </c>
      <c r="GN11" s="1">
        <v>0</v>
      </c>
      <c r="GO11" s="1">
        <v>0</v>
      </c>
      <c r="GP11" s="1">
        <v>0</v>
      </c>
      <c r="GQ11" s="1">
        <v>0</v>
      </c>
      <c r="GR11" s="1">
        <v>0</v>
      </c>
      <c r="GS11" s="1">
        <v>0</v>
      </c>
      <c r="GT11" s="1">
        <v>0</v>
      </c>
      <c r="GU11" s="1">
        <v>0</v>
      </c>
      <c r="GV11" s="1">
        <v>0</v>
      </c>
      <c r="GW11" s="1">
        <v>0</v>
      </c>
      <c r="GX11" s="1">
        <v>0</v>
      </c>
      <c r="GY11" s="1">
        <v>0</v>
      </c>
      <c r="GZ11" s="1">
        <v>0</v>
      </c>
      <c r="HA11" s="1">
        <v>0</v>
      </c>
      <c r="HB11" s="1">
        <v>0</v>
      </c>
      <c r="HC11" s="1">
        <v>0</v>
      </c>
      <c r="HD11" s="1">
        <v>0</v>
      </c>
      <c r="HE11" s="1">
        <v>0</v>
      </c>
      <c r="HF11" s="1">
        <v>0</v>
      </c>
      <c r="HG11" s="1">
        <v>0</v>
      </c>
      <c r="HH11" s="1">
        <v>0</v>
      </c>
      <c r="HI11" s="1">
        <v>0</v>
      </c>
      <c r="HJ11" s="1">
        <v>0</v>
      </c>
      <c r="HK11" s="1">
        <v>0</v>
      </c>
      <c r="HL11" s="1">
        <v>0</v>
      </c>
      <c r="HM11" s="1">
        <v>0</v>
      </c>
      <c r="HN11" s="1">
        <v>0</v>
      </c>
      <c r="HO11" s="1">
        <v>0</v>
      </c>
      <c r="HP11" s="1">
        <v>0</v>
      </c>
      <c r="HQ11" s="1">
        <v>0</v>
      </c>
      <c r="HR11" s="1">
        <v>0</v>
      </c>
      <c r="HS11" s="1">
        <v>0</v>
      </c>
      <c r="HT11" s="1">
        <v>0</v>
      </c>
      <c r="HU11" s="1">
        <v>0</v>
      </c>
      <c r="HV11" s="1">
        <v>0</v>
      </c>
      <c r="HW11" s="1">
        <v>0</v>
      </c>
      <c r="HX11" s="1">
        <v>0</v>
      </c>
      <c r="HY11" s="1">
        <v>0</v>
      </c>
      <c r="HZ11" s="1">
        <v>0</v>
      </c>
      <c r="IA11" s="1">
        <v>0</v>
      </c>
      <c r="IB11" s="1">
        <v>0</v>
      </c>
      <c r="IC11" s="1">
        <v>0</v>
      </c>
      <c r="ID11" s="1">
        <v>0</v>
      </c>
      <c r="IE11" s="1">
        <v>0</v>
      </c>
      <c r="IF11" s="1">
        <v>0</v>
      </c>
      <c r="IG11" s="1">
        <v>0</v>
      </c>
      <c r="IH11" s="1">
        <v>250.7</v>
      </c>
      <c r="II11" s="1">
        <v>200.8</v>
      </c>
      <c r="IJ11" s="1">
        <v>0</v>
      </c>
      <c r="IK11" s="1">
        <v>0</v>
      </c>
      <c r="IL11" s="1">
        <v>0</v>
      </c>
      <c r="IM11" s="1">
        <v>0</v>
      </c>
      <c r="IN11" s="1">
        <v>0</v>
      </c>
      <c r="IO11" s="1">
        <v>0</v>
      </c>
      <c r="IP11" s="1">
        <v>0</v>
      </c>
      <c r="IQ11" s="1">
        <v>0</v>
      </c>
      <c r="IR11" s="1">
        <v>0</v>
      </c>
      <c r="IS11" s="1">
        <v>0</v>
      </c>
      <c r="IT11" s="1">
        <v>0</v>
      </c>
      <c r="IU11" s="1">
        <v>0</v>
      </c>
      <c r="IV11" s="1">
        <v>0</v>
      </c>
      <c r="IW11" s="1">
        <v>0</v>
      </c>
      <c r="IX11" s="1">
        <v>0</v>
      </c>
      <c r="IY11" s="1">
        <v>0</v>
      </c>
      <c r="IZ11" s="1">
        <v>0</v>
      </c>
      <c r="JA11" s="1">
        <v>0</v>
      </c>
      <c r="JB11" s="1">
        <v>0</v>
      </c>
      <c r="JC11" s="1">
        <v>0</v>
      </c>
      <c r="JD11" s="1">
        <v>0</v>
      </c>
      <c r="JE11" s="1">
        <v>0</v>
      </c>
      <c r="JF11" s="1">
        <v>0</v>
      </c>
      <c r="JG11" s="1">
        <v>0</v>
      </c>
      <c r="JH11" s="1">
        <v>0</v>
      </c>
      <c r="JI11" s="1">
        <v>0</v>
      </c>
      <c r="JJ11" s="1">
        <v>0</v>
      </c>
      <c r="JK11" s="1">
        <v>0</v>
      </c>
      <c r="JL11" s="1">
        <v>0</v>
      </c>
      <c r="JM11" s="1">
        <v>0</v>
      </c>
      <c r="JN11" s="1">
        <v>0</v>
      </c>
      <c r="JO11" s="1">
        <v>0</v>
      </c>
      <c r="JP11" s="1">
        <v>0</v>
      </c>
      <c r="JQ11" s="1">
        <v>0</v>
      </c>
      <c r="JR11" s="1">
        <v>0</v>
      </c>
      <c r="JS11" s="1">
        <v>0</v>
      </c>
      <c r="JT11" s="1">
        <v>0</v>
      </c>
      <c r="JU11" s="1">
        <v>0</v>
      </c>
      <c r="JV11" s="1">
        <v>0</v>
      </c>
      <c r="JW11" s="1">
        <v>0</v>
      </c>
      <c r="JX11" s="1">
        <v>0</v>
      </c>
      <c r="JY11" s="1">
        <v>0</v>
      </c>
      <c r="JZ11" s="1">
        <v>0</v>
      </c>
      <c r="KA11" s="1">
        <v>0</v>
      </c>
      <c r="KB11" s="1">
        <v>0</v>
      </c>
      <c r="KC11" s="1">
        <v>0</v>
      </c>
    </row>
    <row r="12" spans="1:289" x14ac:dyDescent="0.15">
      <c r="A12" s="8">
        <v>20</v>
      </c>
      <c r="B12" s="1">
        <v>14.83</v>
      </c>
      <c r="C12" s="1">
        <v>99.04</v>
      </c>
      <c r="D12" s="1">
        <v>89.51</v>
      </c>
      <c r="E12" s="1">
        <v>81.61</v>
      </c>
      <c r="F12" s="1">
        <v>74.959999999999994</v>
      </c>
      <c r="G12" s="1">
        <v>69.31</v>
      </c>
      <c r="H12" s="1">
        <v>64.44</v>
      </c>
      <c r="I12" s="1">
        <v>60.21</v>
      </c>
      <c r="J12" s="1">
        <v>56.5</v>
      </c>
      <c r="K12" s="1">
        <v>53.23</v>
      </c>
      <c r="L12" s="1">
        <v>50.33</v>
      </c>
      <c r="M12" s="1">
        <v>47.73</v>
      </c>
      <c r="N12" s="1">
        <v>45.13</v>
      </c>
      <c r="O12" s="1">
        <v>42.77</v>
      </c>
      <c r="P12" s="1">
        <v>40.619999999999997</v>
      </c>
      <c r="Q12" s="1">
        <v>38.65</v>
      </c>
      <c r="R12" s="1">
        <v>36.85</v>
      </c>
      <c r="S12" s="1">
        <v>35.18</v>
      </c>
      <c r="T12" s="1">
        <v>33.64</v>
      </c>
      <c r="U12" s="1">
        <v>32.22</v>
      </c>
      <c r="V12" s="1">
        <v>30.9</v>
      </c>
      <c r="W12" s="1">
        <v>29.68</v>
      </c>
      <c r="X12" s="1">
        <v>28.54</v>
      </c>
      <c r="Y12" s="1">
        <v>27.47</v>
      </c>
      <c r="Z12" s="1">
        <v>26.48</v>
      </c>
      <c r="AA12" s="1">
        <v>25.56</v>
      </c>
      <c r="AB12" s="1">
        <v>24.69</v>
      </c>
      <c r="AC12" s="1">
        <v>23.89</v>
      </c>
      <c r="AD12" s="1">
        <v>23.14</v>
      </c>
      <c r="AE12" s="1">
        <v>22.43</v>
      </c>
      <c r="AF12" s="1">
        <v>21.78</v>
      </c>
      <c r="AG12" s="1">
        <v>21.16</v>
      </c>
      <c r="AH12" s="1">
        <v>20.59</v>
      </c>
      <c r="AI12" s="1">
        <v>20.059999999999999</v>
      </c>
      <c r="AJ12" s="1">
        <v>19.57</v>
      </c>
      <c r="AK12" s="1">
        <v>19.11</v>
      </c>
      <c r="AL12" s="1">
        <v>18.690000000000001</v>
      </c>
      <c r="AM12" s="1">
        <v>18.29</v>
      </c>
      <c r="AN12" s="1">
        <v>17.93</v>
      </c>
      <c r="AO12" s="1">
        <v>17.600000000000001</v>
      </c>
      <c r="AP12" s="1">
        <v>17.29</v>
      </c>
      <c r="AQ12" s="1">
        <v>17.010000000000002</v>
      </c>
      <c r="AR12" s="1">
        <v>16.75</v>
      </c>
      <c r="AS12" s="1">
        <v>16.510000000000002</v>
      </c>
      <c r="AT12" s="1">
        <v>16.3</v>
      </c>
      <c r="AU12" s="1">
        <v>16.11</v>
      </c>
      <c r="AV12" s="1">
        <v>15.94</v>
      </c>
      <c r="AW12" s="1">
        <v>62.15</v>
      </c>
      <c r="AX12" s="1">
        <v>53.87</v>
      </c>
      <c r="AY12" s="1">
        <v>47.22</v>
      </c>
      <c r="AZ12" s="1">
        <v>42.06</v>
      </c>
      <c r="BA12" s="1">
        <v>37.979999999999997</v>
      </c>
      <c r="BB12" s="6">
        <v>103.46</v>
      </c>
      <c r="BC12" s="6">
        <v>93.74</v>
      </c>
      <c r="BD12" s="6">
        <v>85.7</v>
      </c>
      <c r="BE12" s="6">
        <v>78.959999999999994</v>
      </c>
      <c r="BF12" s="6">
        <v>73.23</v>
      </c>
      <c r="BG12" s="6">
        <v>68.31</v>
      </c>
      <c r="BH12" s="6">
        <v>64.05</v>
      </c>
      <c r="BI12" s="6">
        <v>60.33</v>
      </c>
      <c r="BJ12" s="6">
        <v>57.05</v>
      </c>
      <c r="BK12" s="6">
        <v>54.16</v>
      </c>
      <c r="BL12" s="6">
        <v>51.58</v>
      </c>
      <c r="BM12" s="6">
        <v>49</v>
      </c>
      <c r="BN12" s="6">
        <v>46.67</v>
      </c>
      <c r="BO12" s="6">
        <v>44.56</v>
      </c>
      <c r="BP12" s="6">
        <v>42.63</v>
      </c>
      <c r="BQ12" s="1">
        <v>103.57</v>
      </c>
      <c r="BR12" s="1">
        <v>68.88</v>
      </c>
      <c r="BS12" s="1">
        <v>52.35</v>
      </c>
      <c r="BT12" s="1">
        <v>41.82</v>
      </c>
      <c r="BU12" s="1">
        <v>35.270000000000003</v>
      </c>
      <c r="BV12" s="1">
        <v>31.26</v>
      </c>
      <c r="BW12" s="1">
        <v>103.44</v>
      </c>
      <c r="BX12" s="1">
        <v>69.010000000000005</v>
      </c>
      <c r="BY12" s="1">
        <v>52.53</v>
      </c>
      <c r="BZ12" s="1">
        <v>41.96</v>
      </c>
      <c r="CA12" s="6">
        <v>105.37</v>
      </c>
      <c r="CB12" s="6">
        <v>95.94</v>
      </c>
      <c r="CC12" s="6">
        <v>88.14</v>
      </c>
      <c r="CD12" s="6">
        <v>81.61</v>
      </c>
      <c r="CE12" s="6">
        <v>76.06</v>
      </c>
      <c r="CF12" s="6">
        <v>71.290000000000006</v>
      </c>
      <c r="CG12" s="6">
        <v>67.22</v>
      </c>
      <c r="CH12" s="1">
        <v>63.66</v>
      </c>
      <c r="CI12" s="1">
        <v>60.57</v>
      </c>
      <c r="CJ12" s="1">
        <v>57.81</v>
      </c>
      <c r="CK12" s="1">
        <v>55.37</v>
      </c>
      <c r="CL12" s="1">
        <v>52.97</v>
      </c>
      <c r="CM12" s="1">
        <v>50.8</v>
      </c>
      <c r="CN12" s="1">
        <v>48.87</v>
      </c>
      <c r="CO12" s="1">
        <v>47.09</v>
      </c>
      <c r="CP12" s="1">
        <v>99.46</v>
      </c>
      <c r="CQ12" s="5">
        <v>89.91</v>
      </c>
      <c r="CR12" s="5">
        <v>82</v>
      </c>
      <c r="CS12" s="1">
        <v>75.34</v>
      </c>
      <c r="CT12" s="1">
        <v>69.67</v>
      </c>
      <c r="CU12" s="1">
        <v>64.790000000000006</v>
      </c>
      <c r="CV12" s="1">
        <v>60.54</v>
      </c>
      <c r="CW12" s="1">
        <v>56.82</v>
      </c>
      <c r="CX12" s="1">
        <v>53.53</v>
      </c>
      <c r="CY12" s="1">
        <v>50.61</v>
      </c>
      <c r="CZ12" s="1">
        <v>48</v>
      </c>
      <c r="DA12" s="1">
        <v>45.38</v>
      </c>
      <c r="DB12" s="1">
        <v>43</v>
      </c>
      <c r="DC12" s="1">
        <v>40.83</v>
      </c>
      <c r="DD12" s="1">
        <v>38.83</v>
      </c>
      <c r="DE12">
        <v>70.180000000000007</v>
      </c>
      <c r="DF12">
        <v>66.05</v>
      </c>
      <c r="DG12">
        <v>62.45</v>
      </c>
      <c r="DH12" s="1">
        <v>59.3</v>
      </c>
      <c r="DI12">
        <v>56.53</v>
      </c>
      <c r="DJ12" s="1">
        <v>54.09</v>
      </c>
      <c r="DK12" s="1">
        <v>51.65</v>
      </c>
      <c r="DL12" s="1">
        <v>49.47</v>
      </c>
      <c r="DM12" s="1">
        <v>47.51</v>
      </c>
      <c r="DN12" s="1">
        <v>45.75</v>
      </c>
      <c r="DO12" s="1">
        <v>44.16</v>
      </c>
      <c r="DP12" s="1">
        <v>8</v>
      </c>
      <c r="DQ12" s="1">
        <v>8</v>
      </c>
      <c r="DR12" s="1">
        <v>8</v>
      </c>
      <c r="DS12" s="1">
        <v>8</v>
      </c>
      <c r="DT12" s="1">
        <v>8</v>
      </c>
      <c r="DU12" s="1">
        <v>2.46</v>
      </c>
      <c r="DV12" s="1">
        <v>2.5099999999999998</v>
      </c>
      <c r="DW12" s="1">
        <v>2.56</v>
      </c>
      <c r="DX12" s="1">
        <v>2.61</v>
      </c>
      <c r="DY12" s="1">
        <v>2.66</v>
      </c>
      <c r="DZ12" s="1">
        <v>2.71</v>
      </c>
      <c r="EA12" s="1">
        <v>2.78</v>
      </c>
      <c r="EB12" s="1">
        <v>2.85</v>
      </c>
      <c r="EC12" s="1">
        <v>2.93</v>
      </c>
      <c r="ED12" s="1">
        <v>3</v>
      </c>
      <c r="EE12" s="1">
        <v>3.07</v>
      </c>
      <c r="EF12" s="1">
        <v>3.16</v>
      </c>
      <c r="EG12" s="1">
        <v>3.25</v>
      </c>
      <c r="EH12" s="1">
        <v>3.35</v>
      </c>
      <c r="EI12" s="1">
        <v>3.44</v>
      </c>
      <c r="EJ12" s="1">
        <v>3.53</v>
      </c>
      <c r="EK12" s="1">
        <v>3.63</v>
      </c>
      <c r="EL12" s="1">
        <v>3.74</v>
      </c>
      <c r="EM12" s="1">
        <v>3.86</v>
      </c>
      <c r="EN12" s="1">
        <v>3.99</v>
      </c>
      <c r="EO12" s="1">
        <v>4.12</v>
      </c>
      <c r="EP12" s="1">
        <v>4.26</v>
      </c>
      <c r="EQ12" s="1">
        <v>4.41</v>
      </c>
      <c r="ER12" s="1">
        <v>4.57</v>
      </c>
      <c r="ES12" s="1">
        <v>4.74</v>
      </c>
      <c r="ET12" s="1">
        <v>4.92</v>
      </c>
      <c r="EU12" s="1">
        <v>5.1100000000000003</v>
      </c>
      <c r="EV12" s="1">
        <v>5.31</v>
      </c>
      <c r="EW12" s="1">
        <v>5.53</v>
      </c>
      <c r="EX12" s="1">
        <v>5.77</v>
      </c>
      <c r="EY12" s="1">
        <v>6.02</v>
      </c>
      <c r="EZ12" s="1">
        <v>6.28</v>
      </c>
      <c r="FA12" s="1">
        <v>6.57</v>
      </c>
      <c r="FB12" s="1">
        <v>6.86</v>
      </c>
      <c r="FC12" s="1">
        <v>7.18</v>
      </c>
      <c r="FD12" s="1">
        <v>7.5</v>
      </c>
      <c r="FE12" s="1">
        <v>2.9</v>
      </c>
      <c r="FF12" s="1">
        <v>2.93</v>
      </c>
      <c r="FG12" s="1">
        <v>2.97</v>
      </c>
      <c r="FH12" s="1">
        <v>3</v>
      </c>
      <c r="FI12" s="1">
        <v>3.04</v>
      </c>
      <c r="FJ12" s="1">
        <v>3.07</v>
      </c>
      <c r="FK12" s="1">
        <v>3.12</v>
      </c>
      <c r="FL12" s="1">
        <v>3.16</v>
      </c>
      <c r="FM12" s="1">
        <v>3.21</v>
      </c>
      <c r="FN12" s="1">
        <v>3.25</v>
      </c>
      <c r="FO12" s="1">
        <v>3.3</v>
      </c>
      <c r="FP12" s="1">
        <v>3.36</v>
      </c>
      <c r="FQ12" s="1">
        <v>3.42</v>
      </c>
      <c r="FR12" s="1">
        <v>3.49</v>
      </c>
      <c r="FS12" s="1">
        <v>3.55</v>
      </c>
      <c r="FT12" s="1">
        <v>3.61</v>
      </c>
      <c r="FU12" s="9">
        <v>0.72899999999999998</v>
      </c>
      <c r="FV12" s="1">
        <v>0</v>
      </c>
      <c r="FW12" s="1">
        <v>0</v>
      </c>
      <c r="FX12" s="1">
        <v>0</v>
      </c>
      <c r="FY12" s="1">
        <v>0</v>
      </c>
      <c r="FZ12" s="9">
        <v>0.83299999999999996</v>
      </c>
      <c r="GA12" s="1">
        <v>0</v>
      </c>
      <c r="GB12" s="1">
        <v>0</v>
      </c>
      <c r="GC12" s="9">
        <v>0.89900000000000002</v>
      </c>
      <c r="GD12" s="1">
        <v>0</v>
      </c>
      <c r="GE12" s="9">
        <v>0.93799999999999994</v>
      </c>
      <c r="GF12" s="9">
        <v>0.95699999999999996</v>
      </c>
      <c r="GG12" s="1">
        <v>0</v>
      </c>
      <c r="GH12" s="1">
        <v>0</v>
      </c>
      <c r="GI12" s="9">
        <v>1.018</v>
      </c>
      <c r="GJ12" s="9">
        <v>1.042</v>
      </c>
      <c r="GK12" s="1">
        <v>0</v>
      </c>
      <c r="GL12" s="9">
        <v>1.097</v>
      </c>
      <c r="GM12" s="1">
        <v>0</v>
      </c>
      <c r="GN12" s="1">
        <v>0</v>
      </c>
      <c r="GO12" s="9">
        <v>1.198</v>
      </c>
      <c r="GP12" s="1">
        <v>0</v>
      </c>
      <c r="GQ12" s="1">
        <v>0</v>
      </c>
      <c r="GR12" s="1">
        <v>0</v>
      </c>
      <c r="GS12" s="1">
        <v>0</v>
      </c>
      <c r="GT12" s="9">
        <v>1.4059999999999999</v>
      </c>
      <c r="GU12" s="1">
        <v>0</v>
      </c>
      <c r="GV12" s="1">
        <v>0</v>
      </c>
      <c r="GW12" s="1">
        <v>0</v>
      </c>
      <c r="GX12" s="1">
        <v>0</v>
      </c>
      <c r="GY12" s="9">
        <v>1.667</v>
      </c>
      <c r="GZ12" s="1">
        <v>0.85</v>
      </c>
      <c r="HA12" s="1">
        <v>0.93</v>
      </c>
      <c r="HB12" s="1">
        <v>1.01</v>
      </c>
      <c r="HC12" s="1">
        <v>1.1000000000000001</v>
      </c>
      <c r="HD12" s="1">
        <v>1.2</v>
      </c>
      <c r="HE12" s="1">
        <v>1.3</v>
      </c>
      <c r="HF12" s="1">
        <v>1.41</v>
      </c>
      <c r="HG12" s="1">
        <v>1.53</v>
      </c>
      <c r="HH12" s="1">
        <v>1.66</v>
      </c>
      <c r="HI12" s="1">
        <v>1.8</v>
      </c>
      <c r="HJ12" s="1">
        <v>1.94</v>
      </c>
      <c r="HK12" s="1">
        <v>2.1</v>
      </c>
      <c r="HL12" s="1">
        <v>2.2799999999999998</v>
      </c>
      <c r="HM12" s="1">
        <v>2.46</v>
      </c>
      <c r="HN12" s="1">
        <v>2.67</v>
      </c>
      <c r="HO12" s="1">
        <v>2.9</v>
      </c>
      <c r="HP12" s="1">
        <v>38.51</v>
      </c>
      <c r="HQ12">
        <v>28.16</v>
      </c>
      <c r="HR12" s="1">
        <v>23.1</v>
      </c>
      <c r="HS12" s="1">
        <v>20.16</v>
      </c>
      <c r="HT12" s="1">
        <v>18.29</v>
      </c>
      <c r="HU12" s="1">
        <v>15.23</v>
      </c>
      <c r="HV12" s="1">
        <v>17.010000000000002</v>
      </c>
      <c r="HW12" s="1">
        <v>101.83</v>
      </c>
      <c r="HX12" s="1">
        <v>66.98</v>
      </c>
      <c r="HY12" s="1">
        <v>50.22</v>
      </c>
      <c r="HZ12" s="1">
        <v>39.380000000000003</v>
      </c>
      <c r="IA12" s="1">
        <v>32.340000000000003</v>
      </c>
      <c r="IB12" s="1">
        <v>27.58</v>
      </c>
      <c r="IC12" s="1">
        <v>699.4</v>
      </c>
      <c r="ID12" s="1">
        <v>586.4</v>
      </c>
      <c r="IE12" s="1">
        <v>498.5</v>
      </c>
      <c r="IF12" s="1">
        <v>414</v>
      </c>
      <c r="IG12" s="1">
        <v>344.1</v>
      </c>
      <c r="IH12" s="1">
        <v>250.7</v>
      </c>
      <c r="II12" s="1">
        <v>200.8</v>
      </c>
      <c r="IJ12" s="1">
        <v>64.650000000000006</v>
      </c>
      <c r="IK12" s="1">
        <v>56.37</v>
      </c>
      <c r="IL12" s="1">
        <v>0</v>
      </c>
      <c r="IM12" s="1">
        <v>0</v>
      </c>
      <c r="IN12" s="1">
        <v>0</v>
      </c>
      <c r="IO12" s="1">
        <v>0</v>
      </c>
      <c r="IP12" s="1">
        <v>0</v>
      </c>
      <c r="IQ12" s="1">
        <v>0</v>
      </c>
      <c r="IR12" s="1">
        <v>0</v>
      </c>
      <c r="IS12" s="1">
        <v>0</v>
      </c>
      <c r="IT12" s="1">
        <v>0</v>
      </c>
      <c r="IU12" s="1">
        <v>0</v>
      </c>
      <c r="IV12" s="1">
        <v>0</v>
      </c>
      <c r="IW12" s="1">
        <v>0</v>
      </c>
      <c r="IX12" s="1">
        <v>0</v>
      </c>
      <c r="IY12" s="1">
        <v>0</v>
      </c>
      <c r="IZ12" s="1">
        <v>0</v>
      </c>
      <c r="JA12" s="1">
        <v>25.52</v>
      </c>
      <c r="JB12" s="1">
        <v>78.069999999999993</v>
      </c>
      <c r="JC12" s="1">
        <v>59.12</v>
      </c>
      <c r="JD12" s="1">
        <v>4.26</v>
      </c>
      <c r="JE12" s="1">
        <v>4.29</v>
      </c>
      <c r="JF12" s="1">
        <v>4.3099999999999996</v>
      </c>
      <c r="JG12" s="1">
        <v>4.34</v>
      </c>
      <c r="JH12" s="1">
        <v>4.37</v>
      </c>
      <c r="JI12" s="1">
        <v>4.4000000000000004</v>
      </c>
      <c r="JJ12" s="1">
        <v>19.68</v>
      </c>
      <c r="JK12" s="1">
        <v>23.31</v>
      </c>
      <c r="JL12" s="1">
        <v>26.85</v>
      </c>
      <c r="JM12" s="1">
        <v>30.3</v>
      </c>
      <c r="JN12" s="1">
        <v>33.67</v>
      </c>
      <c r="JO12" s="1">
        <v>36.97</v>
      </c>
      <c r="JP12" s="1">
        <v>91.29</v>
      </c>
      <c r="JQ12" s="1">
        <v>74.099999999999994</v>
      </c>
      <c r="JR12" s="1">
        <v>62.87</v>
      </c>
      <c r="JS12" s="1">
        <v>54.66</v>
      </c>
      <c r="JT12" s="1">
        <v>47.95</v>
      </c>
      <c r="JU12" s="1">
        <v>42.73</v>
      </c>
      <c r="JV12" s="1">
        <v>38.57</v>
      </c>
      <c r="JW12" s="1">
        <v>90.54</v>
      </c>
      <c r="JX12" s="1">
        <v>73.349999999999994</v>
      </c>
      <c r="JY12" s="1">
        <v>62.12</v>
      </c>
      <c r="JZ12" s="1">
        <v>53.91</v>
      </c>
      <c r="KA12" s="1">
        <v>47.2</v>
      </c>
      <c r="KB12" s="1">
        <v>41.98</v>
      </c>
      <c r="KC12" s="1">
        <v>37.82</v>
      </c>
    </row>
    <row r="13" spans="1:289" x14ac:dyDescent="0.15">
      <c r="A13" s="8">
        <v>21</v>
      </c>
      <c r="B13" s="1">
        <v>15.29</v>
      </c>
      <c r="C13" s="1">
        <v>99.07</v>
      </c>
      <c r="D13" s="1">
        <v>89.54</v>
      </c>
      <c r="E13" s="1">
        <v>81.64</v>
      </c>
      <c r="F13" s="1">
        <v>74.989999999999995</v>
      </c>
      <c r="G13" s="1">
        <v>69.34</v>
      </c>
      <c r="H13" s="1">
        <v>64.47</v>
      </c>
      <c r="I13" s="1">
        <v>60.24</v>
      </c>
      <c r="J13" s="1">
        <v>56.54</v>
      </c>
      <c r="K13" s="1">
        <v>53.27</v>
      </c>
      <c r="L13" s="1">
        <v>50.37</v>
      </c>
      <c r="M13" s="1">
        <v>47.77</v>
      </c>
      <c r="N13" s="1">
        <v>45.18</v>
      </c>
      <c r="O13" s="1">
        <v>42.82</v>
      </c>
      <c r="P13" s="1">
        <v>40.67</v>
      </c>
      <c r="Q13" s="1">
        <v>38.71</v>
      </c>
      <c r="R13" s="1">
        <v>36.9</v>
      </c>
      <c r="S13" s="1">
        <v>35.24</v>
      </c>
      <c r="T13" s="1">
        <v>33.71</v>
      </c>
      <c r="U13" s="1">
        <v>32.29</v>
      </c>
      <c r="V13" s="1">
        <v>30.97</v>
      </c>
      <c r="W13" s="1">
        <v>29.75</v>
      </c>
      <c r="X13" s="1">
        <v>28.62</v>
      </c>
      <c r="Y13" s="1">
        <v>27.56</v>
      </c>
      <c r="Z13" s="1">
        <v>26.58</v>
      </c>
      <c r="AA13" s="1">
        <v>25.66</v>
      </c>
      <c r="AB13" s="1">
        <v>24.8</v>
      </c>
      <c r="AC13" s="1">
        <v>24.01</v>
      </c>
      <c r="AD13" s="1">
        <v>23.26</v>
      </c>
      <c r="AE13" s="1">
        <v>22.57</v>
      </c>
      <c r="AF13" s="1">
        <v>21.92</v>
      </c>
      <c r="AG13" s="1">
        <v>21.32</v>
      </c>
      <c r="AH13" s="1">
        <v>20.76</v>
      </c>
      <c r="AI13" s="1">
        <v>20.239999999999998</v>
      </c>
      <c r="AJ13" s="1">
        <v>19.760000000000002</v>
      </c>
      <c r="AK13" s="1">
        <v>19.309999999999999</v>
      </c>
      <c r="AL13" s="1">
        <v>18.899999999999999</v>
      </c>
      <c r="AM13" s="1">
        <v>18.52</v>
      </c>
      <c r="AN13" s="1">
        <v>18.170000000000002</v>
      </c>
      <c r="AO13" s="1">
        <v>17.84</v>
      </c>
      <c r="AP13" s="1">
        <v>17.55</v>
      </c>
      <c r="AQ13" s="1">
        <v>17.28</v>
      </c>
      <c r="AR13" s="1">
        <v>17.03</v>
      </c>
      <c r="AS13" s="1">
        <v>16.809999999999999</v>
      </c>
      <c r="AT13" s="1">
        <v>16.61</v>
      </c>
      <c r="AU13" s="1">
        <v>16.43</v>
      </c>
      <c r="AV13" s="10">
        <v>0</v>
      </c>
      <c r="AW13" s="1">
        <v>62.21</v>
      </c>
      <c r="AX13" s="1">
        <v>53.95</v>
      </c>
      <c r="AY13" s="1">
        <v>47.32</v>
      </c>
      <c r="AZ13" s="1">
        <v>42.18</v>
      </c>
      <c r="BA13" s="1">
        <v>38.119999999999997</v>
      </c>
      <c r="BB13" s="6">
        <v>103.53</v>
      </c>
      <c r="BC13" s="6">
        <v>93.82</v>
      </c>
      <c r="BD13" s="6">
        <v>85.78</v>
      </c>
      <c r="BE13" s="6">
        <v>79.05</v>
      </c>
      <c r="BF13" s="6">
        <v>73.33</v>
      </c>
      <c r="BG13" s="6">
        <v>68.41</v>
      </c>
      <c r="BH13" s="6">
        <v>64.16</v>
      </c>
      <c r="BI13" s="6">
        <v>60.45</v>
      </c>
      <c r="BJ13" s="6">
        <v>57.18</v>
      </c>
      <c r="BK13" s="6">
        <v>54.3</v>
      </c>
      <c r="BL13" s="6">
        <v>51.73</v>
      </c>
      <c r="BM13" s="6">
        <v>49.16</v>
      </c>
      <c r="BN13" s="6">
        <v>46.84</v>
      </c>
      <c r="BO13" s="6">
        <v>44.74</v>
      </c>
      <c r="BP13" s="6">
        <v>42.82</v>
      </c>
      <c r="BQ13" s="1">
        <v>103.73</v>
      </c>
      <c r="BR13" s="1">
        <v>69.069999999999993</v>
      </c>
      <c r="BS13" s="1">
        <v>52.59</v>
      </c>
      <c r="BT13" s="1">
        <v>42.14</v>
      </c>
      <c r="BU13" s="1">
        <v>35.700000000000003</v>
      </c>
      <c r="BV13" s="1">
        <v>31.85</v>
      </c>
      <c r="BW13" s="1">
        <v>103.54</v>
      </c>
      <c r="BX13" s="1">
        <v>69.13</v>
      </c>
      <c r="BY13" s="1">
        <v>52.68</v>
      </c>
      <c r="BZ13" s="1">
        <v>42.16</v>
      </c>
      <c r="CA13" s="6">
        <v>105.46</v>
      </c>
      <c r="CB13" s="6">
        <v>96.03</v>
      </c>
      <c r="CC13" s="6">
        <v>88.26</v>
      </c>
      <c r="CD13" s="6">
        <v>81.73</v>
      </c>
      <c r="CE13" s="6">
        <v>76.2</v>
      </c>
      <c r="CF13" s="6">
        <v>71.44</v>
      </c>
      <c r="CG13" s="6">
        <v>67.38</v>
      </c>
      <c r="CH13" s="1">
        <v>63.85</v>
      </c>
      <c r="CI13" s="1">
        <v>60.73</v>
      </c>
      <c r="CJ13" s="1">
        <v>58.01</v>
      </c>
      <c r="CK13" s="1">
        <v>55.59</v>
      </c>
      <c r="CL13" s="1">
        <v>53.21</v>
      </c>
      <c r="CM13" s="1">
        <v>51.07</v>
      </c>
      <c r="CN13" s="1">
        <v>49.13</v>
      </c>
      <c r="CO13" s="1">
        <v>47.38</v>
      </c>
      <c r="CP13" s="1">
        <v>99.49</v>
      </c>
      <c r="CQ13" s="5">
        <v>89.94</v>
      </c>
      <c r="CR13" s="5">
        <v>82.02</v>
      </c>
      <c r="CS13" s="1">
        <v>75.37</v>
      </c>
      <c r="CT13" s="1">
        <v>69.7</v>
      </c>
      <c r="CU13" s="1">
        <v>64.81</v>
      </c>
      <c r="CV13" s="1">
        <v>60.57</v>
      </c>
      <c r="CW13" s="1">
        <v>56.85</v>
      </c>
      <c r="CX13" s="1">
        <v>53.56</v>
      </c>
      <c r="CY13" s="1">
        <v>50.64</v>
      </c>
      <c r="CZ13" s="1">
        <v>48.03</v>
      </c>
      <c r="DA13" s="1">
        <v>45.41</v>
      </c>
      <c r="DB13" s="1">
        <v>43.03</v>
      </c>
      <c r="DC13" s="1">
        <v>40.85</v>
      </c>
      <c r="DD13" s="1">
        <v>38.86</v>
      </c>
      <c r="DE13">
        <v>70.48</v>
      </c>
      <c r="DF13">
        <v>66.37</v>
      </c>
      <c r="DG13">
        <v>62.79</v>
      </c>
      <c r="DH13">
        <v>59.66</v>
      </c>
      <c r="DI13">
        <v>56.91</v>
      </c>
      <c r="DJ13" s="1">
        <v>54.48</v>
      </c>
      <c r="DK13" s="1">
        <v>52.07</v>
      </c>
      <c r="DL13" s="1">
        <v>49.91</v>
      </c>
      <c r="DM13" s="1">
        <v>47.98</v>
      </c>
      <c r="DN13" s="1">
        <v>46.25</v>
      </c>
      <c r="DO13" s="1">
        <v>44.7</v>
      </c>
      <c r="DP13" s="1">
        <v>8</v>
      </c>
      <c r="DQ13" s="1">
        <v>8</v>
      </c>
      <c r="DR13" s="1">
        <v>8</v>
      </c>
      <c r="DS13" s="1">
        <v>8</v>
      </c>
      <c r="DT13" s="1">
        <v>8</v>
      </c>
      <c r="DU13" s="1">
        <v>2.4900000000000002</v>
      </c>
      <c r="DV13" s="1">
        <v>2.54</v>
      </c>
      <c r="DW13" s="1">
        <v>2.6</v>
      </c>
      <c r="DX13" s="1">
        <v>2.65</v>
      </c>
      <c r="DY13" s="1">
        <v>2.71</v>
      </c>
      <c r="DZ13" s="1">
        <v>2.76</v>
      </c>
      <c r="EA13" s="1">
        <v>2.84</v>
      </c>
      <c r="EB13" s="1">
        <v>2.92</v>
      </c>
      <c r="EC13" s="1">
        <v>2.99</v>
      </c>
      <c r="ED13" s="1">
        <v>3.07</v>
      </c>
      <c r="EE13" s="1">
        <v>3.15</v>
      </c>
      <c r="EF13" s="1">
        <v>3.25</v>
      </c>
      <c r="EG13" s="1">
        <v>3.35</v>
      </c>
      <c r="EH13" s="1">
        <v>3.45</v>
      </c>
      <c r="EI13" s="1">
        <v>3.55</v>
      </c>
      <c r="EJ13" s="1">
        <v>3.65</v>
      </c>
      <c r="EK13" s="1">
        <v>3.76</v>
      </c>
      <c r="EL13" s="1">
        <v>3.89</v>
      </c>
      <c r="EM13" s="1">
        <v>4.0199999999999996</v>
      </c>
      <c r="EN13" s="1">
        <v>4.1500000000000004</v>
      </c>
      <c r="EO13" s="1">
        <v>4.3</v>
      </c>
      <c r="EP13" s="1">
        <v>4.45</v>
      </c>
      <c r="EQ13" s="1">
        <v>4.62</v>
      </c>
      <c r="ER13" s="1">
        <v>4.79</v>
      </c>
      <c r="ES13" s="1">
        <v>4.9800000000000004</v>
      </c>
      <c r="ET13" s="1">
        <v>5.18</v>
      </c>
      <c r="EU13" s="1">
        <v>5.4</v>
      </c>
      <c r="EV13" s="1">
        <v>5.63</v>
      </c>
      <c r="EW13" s="1">
        <v>5.87</v>
      </c>
      <c r="EX13" s="1">
        <v>6.13</v>
      </c>
      <c r="EY13" s="1">
        <v>6.41</v>
      </c>
      <c r="EZ13" s="1">
        <v>6.7</v>
      </c>
      <c r="FA13" s="1">
        <v>7.01</v>
      </c>
      <c r="FB13" s="1">
        <v>7.34</v>
      </c>
      <c r="FC13" s="1">
        <v>7.68</v>
      </c>
      <c r="FD13" s="10">
        <v>0</v>
      </c>
      <c r="FE13" s="1">
        <v>2.97</v>
      </c>
      <c r="FF13" s="1">
        <v>3.01</v>
      </c>
      <c r="FG13" s="1">
        <v>3.05</v>
      </c>
      <c r="FH13" s="1">
        <v>3.08</v>
      </c>
      <c r="FI13" s="1">
        <v>3.12</v>
      </c>
      <c r="FJ13" s="1">
        <v>3.16</v>
      </c>
      <c r="FK13" s="1">
        <v>3.21</v>
      </c>
      <c r="FL13" s="1">
        <v>3.26</v>
      </c>
      <c r="FM13" s="1">
        <v>3.31</v>
      </c>
      <c r="FN13" s="1">
        <v>3.36</v>
      </c>
      <c r="FO13" s="1">
        <v>3.41</v>
      </c>
      <c r="FP13" s="1">
        <v>3.48</v>
      </c>
      <c r="FQ13" s="1">
        <v>3.55</v>
      </c>
      <c r="FR13" s="1">
        <v>3.62</v>
      </c>
      <c r="FS13" s="1">
        <v>3.69</v>
      </c>
      <c r="FT13" s="1">
        <v>3.76</v>
      </c>
      <c r="FU13" s="9">
        <v>0.72899999999999998</v>
      </c>
      <c r="FV13" s="1">
        <v>0</v>
      </c>
      <c r="FW13" s="1">
        <v>0</v>
      </c>
      <c r="FX13" s="1">
        <v>0</v>
      </c>
      <c r="FY13">
        <v>0.80100000000000005</v>
      </c>
      <c r="FZ13" s="9">
        <v>0.83299999999999996</v>
      </c>
      <c r="GA13" s="1">
        <v>0</v>
      </c>
      <c r="GB13" s="1">
        <v>0</v>
      </c>
      <c r="GC13" s="9">
        <v>0.93500000000000005</v>
      </c>
      <c r="GD13">
        <v>0.96399999999999997</v>
      </c>
      <c r="GE13" s="9">
        <v>0.99</v>
      </c>
      <c r="GF13" s="9">
        <v>1.0129999999999999</v>
      </c>
      <c r="GG13" s="1">
        <v>0</v>
      </c>
      <c r="GH13" s="1">
        <v>0</v>
      </c>
      <c r="GI13" s="9">
        <v>1.073</v>
      </c>
      <c r="GJ13" s="9">
        <v>1.0940000000000001</v>
      </c>
      <c r="GK13" s="1">
        <v>0</v>
      </c>
      <c r="GL13" s="9">
        <v>1.143</v>
      </c>
      <c r="GM13" s="1">
        <v>0</v>
      </c>
      <c r="GN13">
        <v>1.2090000000000001</v>
      </c>
      <c r="GO13" s="9">
        <v>1.25</v>
      </c>
      <c r="GP13" s="1">
        <v>0</v>
      </c>
      <c r="GQ13" s="1">
        <v>0</v>
      </c>
      <c r="GR13" s="1">
        <v>0</v>
      </c>
      <c r="GS13">
        <v>1.456</v>
      </c>
      <c r="GT13" s="9">
        <v>1.51</v>
      </c>
      <c r="GU13" s="1">
        <v>0</v>
      </c>
      <c r="GV13" s="1">
        <v>0</v>
      </c>
      <c r="GW13" s="1">
        <v>0</v>
      </c>
      <c r="GX13">
        <v>1.7669999999999999</v>
      </c>
      <c r="GY13" s="1">
        <v>0</v>
      </c>
      <c r="GZ13" s="1">
        <v>0.89</v>
      </c>
      <c r="HA13" s="1">
        <v>0.97</v>
      </c>
      <c r="HB13" s="1">
        <v>1.06</v>
      </c>
      <c r="HC13" s="1">
        <v>1.1599999999999999</v>
      </c>
      <c r="HD13" s="1">
        <v>1.26</v>
      </c>
      <c r="HE13" s="1">
        <v>1.37</v>
      </c>
      <c r="HF13" s="1">
        <v>1.49</v>
      </c>
      <c r="HG13" s="1">
        <v>1.62</v>
      </c>
      <c r="HH13" s="1">
        <v>1.76</v>
      </c>
      <c r="HI13" s="1">
        <v>1.91</v>
      </c>
      <c r="HJ13" s="1">
        <v>2.0699999999999998</v>
      </c>
      <c r="HK13" s="1">
        <v>2.25</v>
      </c>
      <c r="HL13" s="1">
        <v>2.44</v>
      </c>
      <c r="HM13" s="1">
        <v>2.65</v>
      </c>
      <c r="HN13" s="1">
        <v>2.88</v>
      </c>
      <c r="HO13" s="1">
        <v>3.13</v>
      </c>
      <c r="HP13" s="1">
        <v>39.44</v>
      </c>
      <c r="HQ13">
        <v>28.84</v>
      </c>
      <c r="HR13" s="1">
        <v>23.67</v>
      </c>
      <c r="HS13" s="1">
        <v>20.66</v>
      </c>
      <c r="HT13" s="1">
        <v>18.75</v>
      </c>
      <c r="HU13" s="1">
        <v>15.73</v>
      </c>
      <c r="HV13" s="1">
        <v>17.55</v>
      </c>
      <c r="HW13" s="1">
        <v>101.88</v>
      </c>
      <c r="HX13" s="1">
        <v>67.05</v>
      </c>
      <c r="HY13" s="1">
        <v>50.31</v>
      </c>
      <c r="HZ13" s="1">
        <v>39.5</v>
      </c>
      <c r="IA13" s="1">
        <v>32.5</v>
      </c>
      <c r="IB13" s="1">
        <v>27.79</v>
      </c>
      <c r="IC13" s="1">
        <v>699.4</v>
      </c>
      <c r="ID13" s="1">
        <v>586.4</v>
      </c>
      <c r="IE13" s="1">
        <v>498.5</v>
      </c>
      <c r="IF13" s="1">
        <v>414</v>
      </c>
      <c r="IG13" s="1">
        <v>344.1</v>
      </c>
      <c r="IH13" s="1">
        <v>250.7</v>
      </c>
      <c r="II13" s="1">
        <v>0</v>
      </c>
      <c r="IJ13" s="1">
        <v>64.709999999999994</v>
      </c>
      <c r="IK13" s="1">
        <v>56.45</v>
      </c>
      <c r="IL13" s="1">
        <v>0</v>
      </c>
      <c r="IM13" s="1">
        <v>0</v>
      </c>
      <c r="IN13" s="1">
        <v>0</v>
      </c>
      <c r="IO13" s="1">
        <v>0</v>
      </c>
      <c r="IP13" s="1">
        <v>0</v>
      </c>
      <c r="IQ13" s="1">
        <v>0</v>
      </c>
      <c r="IR13" s="1">
        <v>0</v>
      </c>
      <c r="IS13" s="1">
        <v>0</v>
      </c>
      <c r="IT13" s="1">
        <v>0</v>
      </c>
      <c r="IU13" s="1">
        <v>0</v>
      </c>
      <c r="IV13" s="1">
        <v>0</v>
      </c>
      <c r="IW13" s="1">
        <v>0</v>
      </c>
      <c r="IX13" s="1">
        <v>0</v>
      </c>
      <c r="IY13" s="1">
        <v>0</v>
      </c>
      <c r="IZ13" s="1">
        <v>0</v>
      </c>
      <c r="JA13" s="1">
        <v>25.59</v>
      </c>
      <c r="JB13" s="1">
        <v>78.069999999999993</v>
      </c>
      <c r="JC13" s="1">
        <v>59.12</v>
      </c>
      <c r="JD13" s="1">
        <v>4.32</v>
      </c>
      <c r="JE13" s="1">
        <v>4.34</v>
      </c>
      <c r="JF13" s="1">
        <v>4.37</v>
      </c>
      <c r="JG13" s="1">
        <v>4.4000000000000004</v>
      </c>
      <c r="JH13" s="1">
        <v>4.4400000000000004</v>
      </c>
      <c r="JI13" s="1">
        <v>4.47</v>
      </c>
      <c r="JJ13" s="1">
        <v>19.940000000000001</v>
      </c>
      <c r="JK13" s="1">
        <v>23.62</v>
      </c>
      <c r="JL13" s="1">
        <v>27.21</v>
      </c>
      <c r="JM13" s="1">
        <v>30.73</v>
      </c>
      <c r="JN13" s="1">
        <v>34.159999999999997</v>
      </c>
      <c r="JO13" s="1">
        <v>37.520000000000003</v>
      </c>
      <c r="JP13" s="1">
        <v>91.33</v>
      </c>
      <c r="JQ13" s="1">
        <v>74.150000000000006</v>
      </c>
      <c r="JR13" s="1">
        <v>62.92</v>
      </c>
      <c r="JS13" s="1">
        <v>54.73</v>
      </c>
      <c r="JT13" s="1">
        <v>48.03</v>
      </c>
      <c r="JU13" s="1">
        <v>42.83</v>
      </c>
      <c r="JV13" s="1">
        <v>38.700000000000003</v>
      </c>
      <c r="JW13" s="1">
        <v>90.58</v>
      </c>
      <c r="JX13" s="1">
        <v>73.400000000000006</v>
      </c>
      <c r="JY13" s="1">
        <v>62.17</v>
      </c>
      <c r="JZ13" s="1">
        <v>53.98</v>
      </c>
      <c r="KA13" s="1">
        <v>47.28</v>
      </c>
      <c r="KB13" s="1">
        <v>42.08</v>
      </c>
      <c r="KC13" s="1">
        <v>37.950000000000003</v>
      </c>
    </row>
    <row r="14" spans="1:289" x14ac:dyDescent="0.15">
      <c r="A14" s="8">
        <v>22</v>
      </c>
      <c r="B14" s="1">
        <v>15.78</v>
      </c>
      <c r="C14" s="1">
        <v>99.1</v>
      </c>
      <c r="D14" s="1">
        <v>89.57</v>
      </c>
      <c r="E14" s="1">
        <v>81.67</v>
      </c>
      <c r="F14" s="1">
        <v>75.03</v>
      </c>
      <c r="G14" s="1">
        <v>69.37</v>
      </c>
      <c r="H14" s="1">
        <v>64.510000000000005</v>
      </c>
      <c r="I14" s="1">
        <v>60.28</v>
      </c>
      <c r="J14" s="1">
        <v>56.58</v>
      </c>
      <c r="K14" s="1">
        <v>53.31</v>
      </c>
      <c r="L14" s="1">
        <v>50.41</v>
      </c>
      <c r="M14" s="1">
        <v>47.82</v>
      </c>
      <c r="N14" s="1">
        <v>45.23</v>
      </c>
      <c r="O14" s="1">
        <v>42.87</v>
      </c>
      <c r="P14" s="1">
        <v>40.729999999999997</v>
      </c>
      <c r="Q14" s="1">
        <v>38.770000000000003</v>
      </c>
      <c r="R14" s="1">
        <v>36.96</v>
      </c>
      <c r="S14" s="1">
        <v>35.31</v>
      </c>
      <c r="T14" s="1">
        <v>33.78</v>
      </c>
      <c r="U14" s="1">
        <v>32.369999999999997</v>
      </c>
      <c r="V14" s="1">
        <v>31.05</v>
      </c>
      <c r="W14" s="1">
        <v>29.84</v>
      </c>
      <c r="X14" s="1">
        <v>28.71</v>
      </c>
      <c r="Y14" s="1">
        <v>27.66</v>
      </c>
      <c r="Z14" s="1">
        <v>26.68</v>
      </c>
      <c r="AA14" s="1">
        <v>25.77</v>
      </c>
      <c r="AB14" s="1">
        <v>24.92</v>
      </c>
      <c r="AC14" s="1">
        <v>24.14</v>
      </c>
      <c r="AD14" s="1">
        <v>23.4</v>
      </c>
      <c r="AE14" s="1">
        <v>22.72</v>
      </c>
      <c r="AF14" s="1">
        <v>22.08</v>
      </c>
      <c r="AG14" s="1">
        <v>21.49</v>
      </c>
      <c r="AH14" s="1">
        <v>20.94</v>
      </c>
      <c r="AI14" s="1">
        <v>20.440000000000001</v>
      </c>
      <c r="AJ14" s="1">
        <v>19.97</v>
      </c>
      <c r="AK14" s="1">
        <v>19.53</v>
      </c>
      <c r="AL14" s="1">
        <v>19.13</v>
      </c>
      <c r="AM14" s="1">
        <v>18.760000000000002</v>
      </c>
      <c r="AN14" s="1">
        <v>18.420000000000002</v>
      </c>
      <c r="AO14" s="1">
        <v>18.11</v>
      </c>
      <c r="AP14" s="1">
        <v>17.829999999999998</v>
      </c>
      <c r="AQ14" s="1">
        <v>17.57</v>
      </c>
      <c r="AR14" s="1">
        <v>17.34</v>
      </c>
      <c r="AS14" s="1">
        <v>17.12</v>
      </c>
      <c r="AT14" s="1">
        <v>16.940000000000001</v>
      </c>
      <c r="AU14" s="10">
        <v>0</v>
      </c>
      <c r="AV14" s="10">
        <v>0</v>
      </c>
      <c r="AW14" s="1">
        <v>62.28</v>
      </c>
      <c r="AX14" s="1">
        <v>54.03</v>
      </c>
      <c r="AY14" s="1">
        <v>47.42</v>
      </c>
      <c r="AZ14" s="1">
        <v>42.31</v>
      </c>
      <c r="BA14" s="1">
        <v>38.28</v>
      </c>
      <c r="BB14" s="6">
        <v>103.6</v>
      </c>
      <c r="BC14" s="6">
        <v>93.89</v>
      </c>
      <c r="BD14" s="6">
        <v>85.86</v>
      </c>
      <c r="BE14" s="6">
        <v>79.14</v>
      </c>
      <c r="BF14" s="6">
        <v>73.42</v>
      </c>
      <c r="BG14" s="6">
        <v>68.52</v>
      </c>
      <c r="BH14" s="6">
        <v>64.27</v>
      </c>
      <c r="BI14" s="6">
        <v>60.57</v>
      </c>
      <c r="BJ14" s="6">
        <v>57.31</v>
      </c>
      <c r="BK14" s="6">
        <v>54.43</v>
      </c>
      <c r="BL14" s="6">
        <v>51.88</v>
      </c>
      <c r="BM14" s="6">
        <v>49.32</v>
      </c>
      <c r="BN14" s="6">
        <v>47.01</v>
      </c>
      <c r="BO14" s="6">
        <v>44.92</v>
      </c>
      <c r="BP14" s="6">
        <v>43.03</v>
      </c>
      <c r="BQ14" s="1">
        <v>103.89</v>
      </c>
      <c r="BR14" s="1">
        <v>69.27</v>
      </c>
      <c r="BS14" s="1">
        <v>52.84</v>
      </c>
      <c r="BT14" s="1">
        <v>42.84</v>
      </c>
      <c r="BU14" s="1">
        <v>36.17</v>
      </c>
      <c r="BV14" s="1">
        <v>32.5</v>
      </c>
      <c r="BW14" s="1">
        <v>103.64</v>
      </c>
      <c r="BX14" s="1">
        <v>69.260000000000005</v>
      </c>
      <c r="BY14" s="1">
        <v>52.84</v>
      </c>
      <c r="BZ14" s="1">
        <v>42.38</v>
      </c>
      <c r="CA14" s="6">
        <v>105.58</v>
      </c>
      <c r="CB14" s="6">
        <v>96.17</v>
      </c>
      <c r="CC14" s="6">
        <v>88.41</v>
      </c>
      <c r="CD14" s="6">
        <v>81.87</v>
      </c>
      <c r="CE14" s="6">
        <v>76.34</v>
      </c>
      <c r="CF14" s="6">
        <v>71.61</v>
      </c>
      <c r="CG14" s="6">
        <v>67.55</v>
      </c>
      <c r="CH14" s="1">
        <v>63.05</v>
      </c>
      <c r="CI14" s="1">
        <v>60.95</v>
      </c>
      <c r="CJ14" s="1">
        <v>58.25</v>
      </c>
      <c r="CK14" s="1">
        <v>55.83</v>
      </c>
      <c r="CL14" s="1">
        <v>53.48</v>
      </c>
      <c r="CM14" s="1">
        <v>51.36</v>
      </c>
      <c r="CN14" s="1">
        <v>49.43</v>
      </c>
      <c r="CO14" s="1">
        <v>47.7</v>
      </c>
      <c r="CP14" s="1">
        <v>99.51</v>
      </c>
      <c r="CQ14" s="5">
        <v>89.96</v>
      </c>
      <c r="CR14" s="5">
        <v>82.05</v>
      </c>
      <c r="CS14" s="1">
        <v>75.39</v>
      </c>
      <c r="CT14" s="1">
        <v>69.72</v>
      </c>
      <c r="CU14" s="1">
        <v>64.84</v>
      </c>
      <c r="CV14" s="1">
        <v>60.59</v>
      </c>
      <c r="CW14" s="1">
        <v>56.87</v>
      </c>
      <c r="CX14" s="1">
        <v>53.59</v>
      </c>
      <c r="CY14" s="1">
        <v>50.67</v>
      </c>
      <c r="CZ14" s="1">
        <v>48.05</v>
      </c>
      <c r="DA14" s="1">
        <v>45.44</v>
      </c>
      <c r="DB14" s="1">
        <v>43.06</v>
      </c>
      <c r="DC14" s="1">
        <v>40.89</v>
      </c>
      <c r="DD14" s="1">
        <v>38.89</v>
      </c>
      <c r="DE14">
        <v>70.81</v>
      </c>
      <c r="DF14">
        <v>66.72</v>
      </c>
      <c r="DG14">
        <v>63.16</v>
      </c>
      <c r="DH14">
        <v>60.05</v>
      </c>
      <c r="DI14">
        <v>57.32</v>
      </c>
      <c r="DJ14" s="1">
        <v>54.92</v>
      </c>
      <c r="DK14" s="1">
        <v>52.53</v>
      </c>
      <c r="DL14" s="1">
        <v>50.4</v>
      </c>
      <c r="DM14" s="1">
        <v>48.5</v>
      </c>
      <c r="DN14" s="1">
        <v>46.81</v>
      </c>
      <c r="DO14" s="1">
        <v>45.3</v>
      </c>
      <c r="DP14" s="1">
        <v>8</v>
      </c>
      <c r="DQ14" s="1">
        <v>8</v>
      </c>
      <c r="DR14" s="1">
        <v>8</v>
      </c>
      <c r="DS14" s="1">
        <v>8</v>
      </c>
      <c r="DT14" s="1">
        <v>8</v>
      </c>
      <c r="DU14" s="1">
        <v>2.5299999999999998</v>
      </c>
      <c r="DV14" s="1">
        <v>2.59</v>
      </c>
      <c r="DW14" s="1">
        <v>2.65</v>
      </c>
      <c r="DX14" s="1">
        <v>2.7</v>
      </c>
      <c r="DY14" s="1">
        <v>2.76</v>
      </c>
      <c r="DZ14" s="1">
        <v>2.82</v>
      </c>
      <c r="EA14" s="1">
        <v>2.9</v>
      </c>
      <c r="EB14" s="1">
        <v>2.99</v>
      </c>
      <c r="EC14" s="1">
        <v>3.07</v>
      </c>
      <c r="ED14" s="1">
        <v>3.16</v>
      </c>
      <c r="EE14" s="1">
        <v>3.24</v>
      </c>
      <c r="EF14" s="1">
        <v>3.35</v>
      </c>
      <c r="EG14" s="1">
        <v>3.46</v>
      </c>
      <c r="EH14" s="1">
        <v>3.56</v>
      </c>
      <c r="EI14" s="1">
        <v>3.67</v>
      </c>
      <c r="EJ14" s="1">
        <v>3.78</v>
      </c>
      <c r="EK14" s="1">
        <v>3.91</v>
      </c>
      <c r="EL14" s="1">
        <v>4.04</v>
      </c>
      <c r="EM14" s="1">
        <v>4.1900000000000004</v>
      </c>
      <c r="EN14" s="1">
        <v>4.34</v>
      </c>
      <c r="EO14" s="1">
        <v>4.5</v>
      </c>
      <c r="EP14" s="1">
        <v>4.67</v>
      </c>
      <c r="EQ14" s="1">
        <v>4.8499999999999996</v>
      </c>
      <c r="ER14" s="1">
        <v>5.05</v>
      </c>
      <c r="ES14" s="1">
        <v>5.26</v>
      </c>
      <c r="ET14" s="1">
        <v>5.48</v>
      </c>
      <c r="EU14" s="1">
        <v>5.72</v>
      </c>
      <c r="EV14" s="1">
        <v>5.98</v>
      </c>
      <c r="EW14" s="1">
        <v>6.25</v>
      </c>
      <c r="EX14" s="1">
        <v>6.54</v>
      </c>
      <c r="EY14" s="1">
        <v>6.84</v>
      </c>
      <c r="EZ14" s="1">
        <v>7.17</v>
      </c>
      <c r="FA14" s="1">
        <v>7.51</v>
      </c>
      <c r="FB14" s="1">
        <v>7.87</v>
      </c>
      <c r="FC14" s="10">
        <v>0</v>
      </c>
      <c r="FD14" s="10">
        <v>0</v>
      </c>
      <c r="FE14" s="1">
        <v>3.04</v>
      </c>
      <c r="FF14" s="1">
        <v>3.08</v>
      </c>
      <c r="FG14" s="1">
        <v>3.12</v>
      </c>
      <c r="FH14" s="1">
        <v>3.17</v>
      </c>
      <c r="FI14" s="1">
        <v>3.21</v>
      </c>
      <c r="FJ14" s="1">
        <v>3.25</v>
      </c>
      <c r="FK14" s="1">
        <v>3.3</v>
      </c>
      <c r="FL14" s="1">
        <v>3.36</v>
      </c>
      <c r="FM14" s="1">
        <v>3.41</v>
      </c>
      <c r="FN14" s="1">
        <v>3.47</v>
      </c>
      <c r="FO14" s="1">
        <v>3.52</v>
      </c>
      <c r="FP14" s="1">
        <v>3.6</v>
      </c>
      <c r="FQ14" s="1">
        <v>3.68</v>
      </c>
      <c r="FR14" s="1">
        <v>3.76</v>
      </c>
      <c r="FS14" s="1">
        <v>3.84</v>
      </c>
      <c r="FT14" s="1">
        <v>3.92</v>
      </c>
      <c r="FU14" s="9">
        <v>0.78100000000000003</v>
      </c>
      <c r="FV14" s="1">
        <v>0</v>
      </c>
      <c r="FW14" s="1">
        <v>0</v>
      </c>
      <c r="FX14">
        <v>0.82299999999999995</v>
      </c>
      <c r="FY14" s="1">
        <v>0</v>
      </c>
      <c r="FZ14" s="9">
        <v>0.88500000000000001</v>
      </c>
      <c r="GA14" s="1">
        <v>0</v>
      </c>
      <c r="GB14" s="1">
        <v>0</v>
      </c>
      <c r="GC14" s="9">
        <v>0.98699999999999999</v>
      </c>
      <c r="GD14" s="1">
        <v>0</v>
      </c>
      <c r="GE14" s="9">
        <v>1.042</v>
      </c>
      <c r="GF14" s="9">
        <v>1.0649999999999999</v>
      </c>
      <c r="GG14" s="1">
        <v>0</v>
      </c>
      <c r="GH14">
        <v>1.1060000000000001</v>
      </c>
      <c r="GI14" s="9">
        <v>1.1259999999999999</v>
      </c>
      <c r="GJ14" s="9">
        <v>1.1459999999999999</v>
      </c>
      <c r="GK14" s="1">
        <v>0</v>
      </c>
      <c r="GL14" s="9">
        <v>1.194</v>
      </c>
      <c r="GM14">
        <v>1.224</v>
      </c>
      <c r="GN14" s="1">
        <v>0</v>
      </c>
      <c r="GO14" s="9">
        <v>1.302</v>
      </c>
      <c r="GP14" s="1">
        <v>0</v>
      </c>
      <c r="GQ14" s="1">
        <v>0</v>
      </c>
      <c r="GR14">
        <v>1.4710000000000001</v>
      </c>
      <c r="GS14" s="1">
        <v>0</v>
      </c>
      <c r="GT14" s="9">
        <v>1.615</v>
      </c>
      <c r="GU14" s="1">
        <v>0</v>
      </c>
      <c r="GV14" s="1">
        <v>0</v>
      </c>
      <c r="GW14">
        <v>1.84</v>
      </c>
      <c r="GX14" s="1">
        <v>0</v>
      </c>
      <c r="GY14" s="1">
        <v>0</v>
      </c>
      <c r="GZ14" s="1">
        <v>0.93</v>
      </c>
      <c r="HA14" s="1">
        <v>1.02</v>
      </c>
      <c r="HB14" s="1">
        <v>1.1200000000000001</v>
      </c>
      <c r="HC14" s="1">
        <v>1.22</v>
      </c>
      <c r="HD14" s="1">
        <v>1.33</v>
      </c>
      <c r="HE14" s="1">
        <v>1.45</v>
      </c>
      <c r="HF14" s="1">
        <v>1.58</v>
      </c>
      <c r="HG14" s="1">
        <v>1.72</v>
      </c>
      <c r="HH14" s="1">
        <v>1.87</v>
      </c>
      <c r="HI14" s="1">
        <v>2.04</v>
      </c>
      <c r="HJ14" s="1">
        <v>2.21</v>
      </c>
      <c r="HK14" s="1">
        <v>2.41</v>
      </c>
      <c r="HL14" s="1">
        <v>2.62</v>
      </c>
      <c r="HM14" s="1">
        <v>2.85</v>
      </c>
      <c r="HN14" s="1">
        <v>3.11</v>
      </c>
      <c r="HO14" s="1">
        <v>3.39</v>
      </c>
      <c r="HP14" s="1">
        <v>40.42</v>
      </c>
      <c r="HQ14">
        <v>29.57</v>
      </c>
      <c r="HR14" s="1">
        <v>24.26</v>
      </c>
      <c r="HS14" s="1">
        <v>21.19</v>
      </c>
      <c r="HT14" s="1">
        <v>19.23</v>
      </c>
      <c r="HU14" s="1">
        <v>16.25</v>
      </c>
      <c r="HV14" s="1">
        <v>18.11</v>
      </c>
      <c r="HW14" s="1">
        <v>101.94</v>
      </c>
      <c r="HX14" s="1">
        <v>67.12</v>
      </c>
      <c r="HY14" s="1">
        <v>50.4</v>
      </c>
      <c r="HZ14" s="1">
        <v>39.619999999999997</v>
      </c>
      <c r="IA14" s="1">
        <v>32.67</v>
      </c>
      <c r="IB14" s="1">
        <v>28.04</v>
      </c>
      <c r="IC14" s="1">
        <v>699.4</v>
      </c>
      <c r="ID14" s="1">
        <v>586.4</v>
      </c>
      <c r="IE14" s="1">
        <v>498.5</v>
      </c>
      <c r="IF14" s="1">
        <v>414</v>
      </c>
      <c r="IG14" s="1">
        <v>344.1</v>
      </c>
      <c r="IH14" s="1">
        <v>250.7</v>
      </c>
      <c r="II14" s="1">
        <v>0</v>
      </c>
      <c r="IJ14" s="1">
        <v>64.78</v>
      </c>
      <c r="IK14" s="1">
        <v>56.53</v>
      </c>
      <c r="IL14" s="1">
        <v>0</v>
      </c>
      <c r="IM14" s="1">
        <v>0</v>
      </c>
      <c r="IN14" s="1">
        <v>0</v>
      </c>
      <c r="IO14" s="1">
        <v>0</v>
      </c>
      <c r="IP14" s="1">
        <v>0</v>
      </c>
      <c r="IQ14" s="1">
        <v>0</v>
      </c>
      <c r="IR14" s="1">
        <v>0</v>
      </c>
      <c r="IS14" s="1">
        <v>0</v>
      </c>
      <c r="IT14" s="1">
        <v>0</v>
      </c>
      <c r="IU14" s="1">
        <v>0</v>
      </c>
      <c r="IV14" s="1">
        <v>0</v>
      </c>
      <c r="IW14" s="1">
        <v>0</v>
      </c>
      <c r="IX14" s="1">
        <v>0</v>
      </c>
      <c r="IY14" s="1">
        <v>0</v>
      </c>
      <c r="IZ14" s="1">
        <v>0</v>
      </c>
      <c r="JA14" s="1">
        <v>25.67</v>
      </c>
      <c r="JB14" s="1">
        <v>78.069999999999993</v>
      </c>
      <c r="JC14" s="1">
        <v>59.23</v>
      </c>
      <c r="JD14" s="1">
        <v>4.37</v>
      </c>
      <c r="JE14" s="1">
        <v>4.4000000000000004</v>
      </c>
      <c r="JF14" s="1">
        <v>4.4400000000000004</v>
      </c>
      <c r="JG14" s="1">
        <v>4.47</v>
      </c>
      <c r="JH14" s="1">
        <v>4.5</v>
      </c>
      <c r="JI14" s="1">
        <v>4.54</v>
      </c>
      <c r="JJ14" s="1">
        <v>20.21</v>
      </c>
      <c r="JK14" s="1">
        <v>23.94</v>
      </c>
      <c r="JL14" s="1">
        <v>27.6</v>
      </c>
      <c r="JM14" s="1">
        <v>31.17</v>
      </c>
      <c r="JN14" s="1">
        <v>34.68</v>
      </c>
      <c r="JO14" s="1">
        <v>38.11</v>
      </c>
      <c r="JP14" s="1">
        <v>91.38</v>
      </c>
      <c r="JQ14" s="1">
        <v>74.209999999999994</v>
      </c>
      <c r="JR14" s="1">
        <v>62.99</v>
      </c>
      <c r="JS14" s="1">
        <v>54.81</v>
      </c>
      <c r="JT14" s="1">
        <v>48.13</v>
      </c>
      <c r="JU14" s="1">
        <v>42.95</v>
      </c>
      <c r="JV14" s="1">
        <v>38.85</v>
      </c>
      <c r="JW14" s="1">
        <v>90.63</v>
      </c>
      <c r="JX14" s="1">
        <v>73.459999999999994</v>
      </c>
      <c r="JY14" s="1">
        <v>62.24</v>
      </c>
      <c r="JZ14" s="1">
        <v>54.06</v>
      </c>
      <c r="KA14" s="1">
        <v>47.38</v>
      </c>
      <c r="KB14" s="1">
        <v>42.2</v>
      </c>
      <c r="KC14" s="1">
        <v>38.1</v>
      </c>
    </row>
    <row r="15" spans="1:289" x14ac:dyDescent="0.15">
      <c r="A15" s="8">
        <v>23</v>
      </c>
      <c r="B15" s="1">
        <v>16.29</v>
      </c>
      <c r="C15" s="1">
        <v>99.13</v>
      </c>
      <c r="D15" s="1">
        <v>89.6</v>
      </c>
      <c r="E15" s="1">
        <v>81.7</v>
      </c>
      <c r="F15" s="1">
        <v>75.06</v>
      </c>
      <c r="G15" s="1">
        <v>69.41</v>
      </c>
      <c r="H15" s="1">
        <v>64.55</v>
      </c>
      <c r="I15" s="1">
        <v>60.32</v>
      </c>
      <c r="J15" s="1">
        <v>56.62</v>
      </c>
      <c r="K15" s="1">
        <v>53.36</v>
      </c>
      <c r="L15" s="1">
        <v>50.46</v>
      </c>
      <c r="M15" s="1">
        <v>47.87</v>
      </c>
      <c r="N15" s="1">
        <v>45.28</v>
      </c>
      <c r="O15" s="1">
        <v>42.93</v>
      </c>
      <c r="P15" s="1">
        <v>40.79</v>
      </c>
      <c r="Q15" s="1">
        <v>38.83</v>
      </c>
      <c r="R15" s="1">
        <v>37.03</v>
      </c>
      <c r="S15" s="1">
        <v>35.380000000000003</v>
      </c>
      <c r="T15" s="1">
        <v>33.85</v>
      </c>
      <c r="U15" s="1">
        <v>32.450000000000003</v>
      </c>
      <c r="V15" s="1">
        <v>31.14</v>
      </c>
      <c r="W15" s="1">
        <v>29.93</v>
      </c>
      <c r="X15" s="1">
        <v>28.81</v>
      </c>
      <c r="Y15" s="1">
        <v>27.77</v>
      </c>
      <c r="Z15" s="1">
        <v>26.8</v>
      </c>
      <c r="AA15" s="1">
        <v>25.9</v>
      </c>
      <c r="AB15" s="1">
        <v>25.06</v>
      </c>
      <c r="AC15" s="1">
        <v>24.28</v>
      </c>
      <c r="AD15" s="1">
        <v>23.56</v>
      </c>
      <c r="AE15" s="1">
        <v>22.89</v>
      </c>
      <c r="AF15" s="1">
        <v>22.26</v>
      </c>
      <c r="AG15" s="1">
        <v>21.68</v>
      </c>
      <c r="AH15" s="1">
        <v>21.15</v>
      </c>
      <c r="AI15" s="1">
        <v>20.65</v>
      </c>
      <c r="AJ15" s="1">
        <v>20.190000000000001</v>
      </c>
      <c r="AK15" s="1">
        <v>19.77</v>
      </c>
      <c r="AL15" s="1">
        <v>19.38</v>
      </c>
      <c r="AM15" s="1">
        <v>19.03</v>
      </c>
      <c r="AN15" s="1">
        <v>18.7</v>
      </c>
      <c r="AO15" s="1">
        <v>18.399999999999999</v>
      </c>
      <c r="AP15" s="1">
        <v>18.13</v>
      </c>
      <c r="AQ15" s="1">
        <v>17.89</v>
      </c>
      <c r="AR15" s="1">
        <v>17.670000000000002</v>
      </c>
      <c r="AS15" s="1">
        <v>17.47</v>
      </c>
      <c r="AT15" s="10">
        <v>0</v>
      </c>
      <c r="AU15" s="10">
        <v>0</v>
      </c>
      <c r="AV15" s="1">
        <v>0</v>
      </c>
      <c r="AW15" s="1">
        <v>62.35</v>
      </c>
      <c r="AX15" s="1">
        <v>54.12</v>
      </c>
      <c r="AY15" s="1">
        <v>47.53</v>
      </c>
      <c r="AZ15" s="1">
        <v>42.44</v>
      </c>
      <c r="BA15" s="1">
        <v>38.450000000000003</v>
      </c>
      <c r="BB15" s="6">
        <v>103.67</v>
      </c>
      <c r="BC15" s="6">
        <v>93.97</v>
      </c>
      <c r="BD15" s="6">
        <v>85.95</v>
      </c>
      <c r="BE15" s="6">
        <v>79.22</v>
      </c>
      <c r="BF15" s="6">
        <v>73.510000000000005</v>
      </c>
      <c r="BG15" s="6">
        <v>68.62</v>
      </c>
      <c r="BH15" s="6">
        <v>64.38</v>
      </c>
      <c r="BI15" s="6">
        <v>60.68</v>
      </c>
      <c r="BJ15" s="6">
        <v>57.43</v>
      </c>
      <c r="BK15" s="6">
        <v>54.57</v>
      </c>
      <c r="BL15" s="6">
        <v>52.02</v>
      </c>
      <c r="BM15" s="6">
        <v>49.47</v>
      </c>
      <c r="BN15" s="6">
        <v>47.18</v>
      </c>
      <c r="BO15" s="6">
        <v>45.1</v>
      </c>
      <c r="BP15" s="6">
        <v>43.21</v>
      </c>
      <c r="BQ15" s="1">
        <v>104.07</v>
      </c>
      <c r="BR15" s="1">
        <v>69.489999999999995</v>
      </c>
      <c r="BS15" s="1">
        <v>53.13</v>
      </c>
      <c r="BT15" s="1">
        <v>42.86</v>
      </c>
      <c r="BU15" s="1">
        <v>36.71</v>
      </c>
      <c r="BV15" s="1">
        <v>33.22</v>
      </c>
      <c r="BW15" s="1">
        <v>103.75</v>
      </c>
      <c r="BX15" s="1">
        <v>69.39</v>
      </c>
      <c r="BY15" s="1">
        <v>53.02</v>
      </c>
      <c r="BZ15" s="1">
        <v>42.63</v>
      </c>
      <c r="CA15" s="6">
        <v>105.67</v>
      </c>
      <c r="CB15" s="6">
        <v>96.27</v>
      </c>
      <c r="CC15" s="6">
        <v>88.53</v>
      </c>
      <c r="CD15" s="6">
        <v>82.01</v>
      </c>
      <c r="CE15" s="6">
        <v>76.510000000000005</v>
      </c>
      <c r="CF15" s="6">
        <v>71.78</v>
      </c>
      <c r="CG15" s="6">
        <v>67.75</v>
      </c>
      <c r="CH15" s="1">
        <v>64.239999999999995</v>
      </c>
      <c r="CI15" s="1">
        <v>61.17</v>
      </c>
      <c r="CJ15" s="1">
        <v>58.47</v>
      </c>
      <c r="CK15" s="1">
        <v>56.08</v>
      </c>
      <c r="CL15" s="1">
        <v>53.75</v>
      </c>
      <c r="CM15" s="1">
        <v>51.66</v>
      </c>
      <c r="CN15" s="1">
        <v>49.78</v>
      </c>
      <c r="CO15" s="1">
        <v>48.07</v>
      </c>
      <c r="CP15" s="1">
        <v>99.53</v>
      </c>
      <c r="CQ15" s="5">
        <v>89.98</v>
      </c>
      <c r="CR15" s="5">
        <v>82.07</v>
      </c>
      <c r="CS15" s="1">
        <v>75.41</v>
      </c>
      <c r="CT15" s="1">
        <v>69.75</v>
      </c>
      <c r="CU15" s="1">
        <v>64.86</v>
      </c>
      <c r="CV15" s="1">
        <v>60.62</v>
      </c>
      <c r="CW15" s="1">
        <v>56.9</v>
      </c>
      <c r="CX15" s="1">
        <v>53.61</v>
      </c>
      <c r="CY15" s="1">
        <v>50.7</v>
      </c>
      <c r="CZ15" s="1">
        <v>48.09</v>
      </c>
      <c r="DA15" s="1">
        <v>45.47</v>
      </c>
      <c r="DB15" s="1">
        <v>43.09</v>
      </c>
      <c r="DC15" s="1">
        <v>40.92</v>
      </c>
      <c r="DD15" s="1">
        <v>38.93</v>
      </c>
      <c r="DE15">
        <v>71.180000000000007</v>
      </c>
      <c r="DF15" s="1">
        <v>67.099999999999994</v>
      </c>
      <c r="DG15">
        <v>63.56</v>
      </c>
      <c r="DH15">
        <v>60.47</v>
      </c>
      <c r="DI15">
        <v>57.77</v>
      </c>
      <c r="DJ15" s="1">
        <v>55.4</v>
      </c>
      <c r="DK15" s="1">
        <v>53.05</v>
      </c>
      <c r="DL15" s="1">
        <v>50.95</v>
      </c>
      <c r="DM15" s="1">
        <v>49.09</v>
      </c>
      <c r="DN15" s="1">
        <v>47.43</v>
      </c>
      <c r="DO15" s="1">
        <v>45.97</v>
      </c>
      <c r="DP15" s="1">
        <v>8</v>
      </c>
      <c r="DQ15" s="1">
        <v>8</v>
      </c>
      <c r="DR15" s="1">
        <v>8</v>
      </c>
      <c r="DS15" s="1">
        <v>8</v>
      </c>
      <c r="DT15" s="1">
        <v>8</v>
      </c>
      <c r="DU15" s="1">
        <v>2.56</v>
      </c>
      <c r="DV15" s="1">
        <v>2.62</v>
      </c>
      <c r="DW15" s="1">
        <v>2.69</v>
      </c>
      <c r="DX15" s="1">
        <v>2.75</v>
      </c>
      <c r="DY15" s="1">
        <v>2.82</v>
      </c>
      <c r="DZ15" s="1">
        <v>2.88</v>
      </c>
      <c r="EA15" s="1">
        <v>2.97</v>
      </c>
      <c r="EB15" s="1">
        <v>3.06</v>
      </c>
      <c r="EC15" s="1">
        <v>3.15</v>
      </c>
      <c r="ED15" s="1">
        <v>3.24</v>
      </c>
      <c r="EE15" s="1">
        <v>3.33</v>
      </c>
      <c r="EF15" s="1">
        <v>3.45</v>
      </c>
      <c r="EG15" s="1">
        <v>3.57</v>
      </c>
      <c r="EH15" s="1">
        <v>3.69</v>
      </c>
      <c r="EI15" s="1">
        <v>3.81</v>
      </c>
      <c r="EJ15" s="1">
        <v>3.93</v>
      </c>
      <c r="EK15" s="1">
        <v>4.07</v>
      </c>
      <c r="EL15" s="1">
        <v>4.22</v>
      </c>
      <c r="EM15" s="1">
        <v>4.37</v>
      </c>
      <c r="EN15" s="1">
        <v>4.54</v>
      </c>
      <c r="EO15" s="1">
        <v>4.72</v>
      </c>
      <c r="EP15" s="1">
        <v>4.91</v>
      </c>
      <c r="EQ15" s="1">
        <v>5.12</v>
      </c>
      <c r="ER15" s="1">
        <v>5.33</v>
      </c>
      <c r="ES15" s="1">
        <v>5.57</v>
      </c>
      <c r="ET15" s="1">
        <v>5.82</v>
      </c>
      <c r="EU15" s="1">
        <v>6.08</v>
      </c>
      <c r="EV15" s="1">
        <v>6.37</v>
      </c>
      <c r="EW15" s="1">
        <v>6.67</v>
      </c>
      <c r="EX15" s="1">
        <v>6.99</v>
      </c>
      <c r="EY15" s="1">
        <v>7.33</v>
      </c>
      <c r="EZ15" s="1">
        <v>7.69</v>
      </c>
      <c r="FA15" s="1">
        <v>8.06</v>
      </c>
      <c r="FB15" s="10">
        <v>0</v>
      </c>
      <c r="FC15" s="10">
        <v>0</v>
      </c>
      <c r="FD15" s="10">
        <v>0</v>
      </c>
      <c r="FE15" s="1">
        <v>3.12</v>
      </c>
      <c r="FF15" s="1">
        <v>3.16</v>
      </c>
      <c r="FG15" s="1">
        <v>3.21</v>
      </c>
      <c r="FH15" s="1">
        <v>3.25</v>
      </c>
      <c r="FI15" s="1">
        <v>3.3</v>
      </c>
      <c r="FJ15" s="1">
        <v>3.34</v>
      </c>
      <c r="FK15" s="1">
        <v>3.4</v>
      </c>
      <c r="FL15" s="1">
        <v>3.46</v>
      </c>
      <c r="FM15" s="1">
        <v>3.53</v>
      </c>
      <c r="FN15" s="1">
        <v>3.59</v>
      </c>
      <c r="FO15" s="1">
        <v>3.65</v>
      </c>
      <c r="FP15" s="1">
        <v>3.74</v>
      </c>
      <c r="FQ15" s="1">
        <v>3.83</v>
      </c>
      <c r="FR15" s="1">
        <v>3.92</v>
      </c>
      <c r="FS15" s="1">
        <v>4.01</v>
      </c>
      <c r="FT15" s="1">
        <v>4.0999999999999996</v>
      </c>
      <c r="FU15" s="9">
        <v>0.83299999999999996</v>
      </c>
      <c r="FV15" s="1">
        <v>0</v>
      </c>
      <c r="FW15">
        <v>0.85099999999999998</v>
      </c>
      <c r="FX15" s="1">
        <v>0</v>
      </c>
      <c r="FY15" s="1">
        <v>0</v>
      </c>
      <c r="FZ15" s="9">
        <v>0.93799999999999994</v>
      </c>
      <c r="GA15" s="1">
        <v>0</v>
      </c>
      <c r="GB15">
        <v>1.0109999999999999</v>
      </c>
      <c r="GC15" s="9">
        <v>1.042</v>
      </c>
      <c r="GD15" s="1">
        <v>0</v>
      </c>
      <c r="GE15" s="9">
        <v>1.0940000000000001</v>
      </c>
      <c r="GF15" s="9">
        <v>1.115</v>
      </c>
      <c r="GG15">
        <v>1.1339999999999999</v>
      </c>
      <c r="GH15" s="1">
        <v>0</v>
      </c>
      <c r="GI15" s="9">
        <v>1.1739999999999999</v>
      </c>
      <c r="GJ15" s="9">
        <v>1.198</v>
      </c>
      <c r="GK15" s="1">
        <v>0</v>
      </c>
      <c r="GL15" s="9">
        <v>1.2609999999999999</v>
      </c>
      <c r="GM15" s="1">
        <v>0</v>
      </c>
      <c r="GN15" s="1">
        <v>0</v>
      </c>
      <c r="GO15" s="9">
        <v>1.4059999999999999</v>
      </c>
      <c r="GP15" s="1">
        <v>0</v>
      </c>
      <c r="GQ15">
        <v>1.5329999999999999</v>
      </c>
      <c r="GR15" s="1">
        <v>0</v>
      </c>
      <c r="GS15" s="1">
        <v>0</v>
      </c>
      <c r="GT15" s="9">
        <v>1.7190000000000001</v>
      </c>
      <c r="GU15" s="1">
        <v>0</v>
      </c>
      <c r="GV15">
        <v>1.893</v>
      </c>
      <c r="GW15" s="1">
        <v>0</v>
      </c>
      <c r="GX15" s="1">
        <v>0</v>
      </c>
      <c r="GY15" s="10">
        <v>0</v>
      </c>
      <c r="GZ15" s="1">
        <v>0.97</v>
      </c>
      <c r="HA15" s="1">
        <v>1.07</v>
      </c>
      <c r="HB15" s="1">
        <v>1.17</v>
      </c>
      <c r="HC15" s="1">
        <v>1.29</v>
      </c>
      <c r="HD15" s="1">
        <v>1.41</v>
      </c>
      <c r="HE15" s="1">
        <v>1.54</v>
      </c>
      <c r="HF15" s="1">
        <v>1.68</v>
      </c>
      <c r="HG15" s="1">
        <v>1.83</v>
      </c>
      <c r="HH15" s="1">
        <v>2</v>
      </c>
      <c r="HI15" s="1">
        <v>2.1800000000000002</v>
      </c>
      <c r="HJ15" s="1">
        <v>2.38</v>
      </c>
      <c r="HK15" s="1">
        <v>2.59</v>
      </c>
      <c r="HL15" s="1">
        <v>2.83</v>
      </c>
      <c r="HM15" s="1">
        <v>3.09</v>
      </c>
      <c r="HN15" s="1">
        <v>3.37</v>
      </c>
      <c r="HO15" s="1">
        <v>3.69</v>
      </c>
      <c r="HP15" s="1">
        <v>41.42</v>
      </c>
      <c r="HQ15">
        <v>30.31</v>
      </c>
      <c r="HR15" s="1">
        <v>24.88</v>
      </c>
      <c r="HS15" s="1">
        <v>21.73</v>
      </c>
      <c r="HT15" s="1">
        <v>19.739999999999998</v>
      </c>
      <c r="HU15" s="1">
        <v>16.8</v>
      </c>
      <c r="HV15" s="1">
        <v>18.7</v>
      </c>
      <c r="HW15" s="1">
        <v>102</v>
      </c>
      <c r="HX15" s="1">
        <v>67.2</v>
      </c>
      <c r="HY15" s="1">
        <v>50.51</v>
      </c>
      <c r="HZ15" s="1">
        <v>39.76</v>
      </c>
      <c r="IA15" s="1">
        <v>32.86</v>
      </c>
      <c r="IB15" s="1">
        <v>28.31</v>
      </c>
      <c r="IC15" s="1">
        <v>699.4</v>
      </c>
      <c r="ID15" s="1">
        <v>586.4</v>
      </c>
      <c r="IE15" s="1">
        <v>498.5</v>
      </c>
      <c r="IF15" s="1">
        <v>414</v>
      </c>
      <c r="IG15" s="1">
        <v>349.4</v>
      </c>
      <c r="IH15" s="1">
        <v>263.3</v>
      </c>
      <c r="II15" s="1">
        <v>0</v>
      </c>
      <c r="IJ15" s="1">
        <v>64.849999999999994</v>
      </c>
      <c r="IK15" s="1">
        <v>56.62</v>
      </c>
      <c r="IL15" s="1">
        <v>0</v>
      </c>
      <c r="IM15" s="1">
        <v>0</v>
      </c>
      <c r="IN15" s="1">
        <v>0</v>
      </c>
      <c r="IO15" s="1">
        <v>0</v>
      </c>
      <c r="IP15" s="1">
        <v>0</v>
      </c>
      <c r="IQ15" s="1">
        <v>0</v>
      </c>
      <c r="IR15" s="1">
        <v>0</v>
      </c>
      <c r="IS15" s="1">
        <v>0</v>
      </c>
      <c r="IT15" s="1">
        <v>0</v>
      </c>
      <c r="IU15" s="1">
        <v>0</v>
      </c>
      <c r="IV15" s="1">
        <v>0</v>
      </c>
      <c r="IW15" s="1">
        <v>0</v>
      </c>
      <c r="IX15" s="1">
        <v>0</v>
      </c>
      <c r="IY15" s="1">
        <v>0</v>
      </c>
      <c r="IZ15" s="1">
        <v>0</v>
      </c>
      <c r="JA15" s="1">
        <v>25.76</v>
      </c>
      <c r="JB15" s="1">
        <v>78.180000000000007</v>
      </c>
      <c r="JC15" s="1">
        <v>59.23</v>
      </c>
      <c r="JD15" s="1">
        <v>4.4400000000000004</v>
      </c>
      <c r="JE15" s="1">
        <v>4.47</v>
      </c>
      <c r="JF15" s="1">
        <v>4.5</v>
      </c>
      <c r="JG15" s="1">
        <v>4.54</v>
      </c>
      <c r="JH15" s="1">
        <v>4.58</v>
      </c>
      <c r="JI15" s="1">
        <v>4.62</v>
      </c>
      <c r="JJ15" s="1">
        <v>20.49</v>
      </c>
      <c r="JK15" s="1">
        <v>24.3</v>
      </c>
      <c r="JL15" s="1">
        <v>28.02</v>
      </c>
      <c r="JM15" s="1">
        <v>31.66</v>
      </c>
      <c r="JN15" s="1">
        <v>35.229999999999997</v>
      </c>
      <c r="JO15" s="1">
        <v>38.74</v>
      </c>
      <c r="JP15" s="1">
        <v>91.43</v>
      </c>
      <c r="JQ15" s="1">
        <v>74.27</v>
      </c>
      <c r="JR15" s="1">
        <v>63.06</v>
      </c>
      <c r="JS15" s="1">
        <v>54.89</v>
      </c>
      <c r="JT15" s="1">
        <v>48.23</v>
      </c>
      <c r="JU15" s="1">
        <v>43.07</v>
      </c>
      <c r="JV15" s="1">
        <v>39.01</v>
      </c>
      <c r="JW15" s="1">
        <v>90.68</v>
      </c>
      <c r="JX15" s="1">
        <v>73.52</v>
      </c>
      <c r="JY15" s="1">
        <v>62.31</v>
      </c>
      <c r="JZ15" s="1">
        <v>54.14</v>
      </c>
      <c r="KA15" s="1">
        <v>47.48</v>
      </c>
      <c r="KB15" s="1">
        <v>42.32</v>
      </c>
      <c r="KC15" s="1">
        <v>38.26</v>
      </c>
    </row>
    <row r="16" spans="1:289" x14ac:dyDescent="0.15">
      <c r="A16" s="8">
        <v>24</v>
      </c>
      <c r="B16" s="1">
        <v>16.82</v>
      </c>
      <c r="C16" s="1">
        <v>99.16</v>
      </c>
      <c r="D16" s="1">
        <v>89.63</v>
      </c>
      <c r="E16" s="1">
        <v>81.739999999999995</v>
      </c>
      <c r="F16" s="1">
        <v>75.099999999999994</v>
      </c>
      <c r="G16" s="1">
        <v>69.45</v>
      </c>
      <c r="H16" s="1">
        <v>64.59</v>
      </c>
      <c r="I16" s="1">
        <v>60.37</v>
      </c>
      <c r="J16" s="1">
        <v>56.67</v>
      </c>
      <c r="K16" s="1">
        <v>53.41</v>
      </c>
      <c r="L16" s="1">
        <v>50.51</v>
      </c>
      <c r="M16" s="1">
        <v>47.93</v>
      </c>
      <c r="N16" s="1">
        <v>45.34</v>
      </c>
      <c r="O16" s="1">
        <v>42.99</v>
      </c>
      <c r="P16" s="1">
        <v>40.86</v>
      </c>
      <c r="Q16" s="1">
        <v>38.9</v>
      </c>
      <c r="R16" s="1">
        <v>37.1</v>
      </c>
      <c r="S16" s="1">
        <v>35.46</v>
      </c>
      <c r="T16" s="1">
        <v>33.94</v>
      </c>
      <c r="U16" s="1">
        <v>32.54</v>
      </c>
      <c r="V16" s="1">
        <v>31.24</v>
      </c>
      <c r="W16" s="1">
        <v>30.04</v>
      </c>
      <c r="X16" s="1">
        <v>28.93</v>
      </c>
      <c r="Y16" s="1">
        <v>27.89</v>
      </c>
      <c r="Z16" s="1">
        <v>26.93</v>
      </c>
      <c r="AA16" s="1">
        <v>26.04</v>
      </c>
      <c r="AB16" s="1">
        <v>25.21</v>
      </c>
      <c r="AC16" s="1">
        <v>24.45</v>
      </c>
      <c r="AD16" s="1">
        <v>23.73</v>
      </c>
      <c r="AE16" s="1">
        <v>23.07</v>
      </c>
      <c r="AF16" s="1">
        <v>22.46</v>
      </c>
      <c r="AG16" s="1">
        <v>21.9</v>
      </c>
      <c r="AH16" s="1">
        <v>21.37</v>
      </c>
      <c r="AI16" s="1">
        <v>20.89</v>
      </c>
      <c r="AJ16" s="1">
        <v>20.45</v>
      </c>
      <c r="AK16" s="1">
        <v>20.04</v>
      </c>
      <c r="AL16" s="1">
        <v>19.66</v>
      </c>
      <c r="AM16" s="1">
        <v>19.32</v>
      </c>
      <c r="AN16" s="1">
        <v>19</v>
      </c>
      <c r="AO16" s="1">
        <v>18.72</v>
      </c>
      <c r="AP16" s="1">
        <v>18.46</v>
      </c>
      <c r="AQ16" s="1">
        <v>18.23</v>
      </c>
      <c r="AR16" s="1">
        <v>18.02</v>
      </c>
      <c r="AS16" s="10">
        <v>0</v>
      </c>
      <c r="AT16" s="10">
        <v>0</v>
      </c>
      <c r="AU16" s="1">
        <v>0</v>
      </c>
      <c r="AV16" s="10">
        <v>0</v>
      </c>
      <c r="AW16" s="1">
        <v>62.43</v>
      </c>
      <c r="AX16" s="1">
        <v>54.22</v>
      </c>
      <c r="AY16" s="1">
        <v>47.66</v>
      </c>
      <c r="AZ16" s="1">
        <v>42.6</v>
      </c>
      <c r="BA16" s="1">
        <v>38.65</v>
      </c>
      <c r="BB16" s="6">
        <v>103.74</v>
      </c>
      <c r="BC16" s="6">
        <v>94.04</v>
      </c>
      <c r="BD16" s="6">
        <v>86.03</v>
      </c>
      <c r="BE16" s="6">
        <v>79.31</v>
      </c>
      <c r="BF16" s="6">
        <v>73.61</v>
      </c>
      <c r="BG16" s="6">
        <v>68.73</v>
      </c>
      <c r="BH16" s="6">
        <v>64.489999999999995</v>
      </c>
      <c r="BI16" s="6">
        <v>60.8</v>
      </c>
      <c r="BJ16" s="6">
        <v>57.56</v>
      </c>
      <c r="BK16" s="6">
        <v>54.7</v>
      </c>
      <c r="BL16" s="6">
        <v>52.17</v>
      </c>
      <c r="BM16" s="6">
        <v>49.63</v>
      </c>
      <c r="BN16" s="6">
        <v>47.35</v>
      </c>
      <c r="BO16" s="6">
        <v>45.28</v>
      </c>
      <c r="BP16" s="6">
        <v>43.41</v>
      </c>
      <c r="BQ16" s="1">
        <v>104.26</v>
      </c>
      <c r="BR16" s="1">
        <v>69.73</v>
      </c>
      <c r="BS16" s="1">
        <v>53.44</v>
      </c>
      <c r="BT16" s="1">
        <v>43.29</v>
      </c>
      <c r="BU16" s="1">
        <v>37.31</v>
      </c>
      <c r="BV16" s="1">
        <v>34.020000000000003</v>
      </c>
      <c r="BW16" s="1">
        <v>103.86</v>
      </c>
      <c r="BX16" s="1">
        <v>69.540000000000006</v>
      </c>
      <c r="BY16" s="1">
        <v>53.23</v>
      </c>
      <c r="BZ16" s="1">
        <v>42.9</v>
      </c>
      <c r="CA16" s="6">
        <v>105.8</v>
      </c>
      <c r="CB16" s="6">
        <v>96.42</v>
      </c>
      <c r="CC16" s="6">
        <v>88.67</v>
      </c>
      <c r="CD16" s="6">
        <v>82.19</v>
      </c>
      <c r="CE16" s="6">
        <v>76.69</v>
      </c>
      <c r="CF16" s="6">
        <v>71.97</v>
      </c>
      <c r="CG16" s="6">
        <v>67.97</v>
      </c>
      <c r="CH16" s="1">
        <v>64.489999999999995</v>
      </c>
      <c r="CI16" s="1">
        <v>61.42</v>
      </c>
      <c r="CJ16" s="1">
        <v>58.74</v>
      </c>
      <c r="CK16" s="1">
        <v>56.38</v>
      </c>
      <c r="CL16" s="1">
        <v>54.07</v>
      </c>
      <c r="CM16" s="1">
        <v>52.01</v>
      </c>
      <c r="CN16" s="1">
        <v>50.15</v>
      </c>
      <c r="CO16" s="1">
        <v>48.47</v>
      </c>
      <c r="CP16" s="1">
        <v>99.56</v>
      </c>
      <c r="CQ16" s="5">
        <v>90.01</v>
      </c>
      <c r="CR16" s="5">
        <v>82.1</v>
      </c>
      <c r="CS16" s="1">
        <v>75.44</v>
      </c>
      <c r="CT16" s="1">
        <v>69.77</v>
      </c>
      <c r="CU16" s="1">
        <v>64.89</v>
      </c>
      <c r="CV16" s="1">
        <v>60.65</v>
      </c>
      <c r="CW16" s="1">
        <v>56.93</v>
      </c>
      <c r="CX16" s="1">
        <v>53.65</v>
      </c>
      <c r="CY16" s="1">
        <v>50.73</v>
      </c>
      <c r="CZ16" s="1">
        <v>48.12</v>
      </c>
      <c r="DA16" s="1">
        <v>45.51</v>
      </c>
      <c r="DB16" s="1">
        <v>43.13</v>
      </c>
      <c r="DC16" s="1">
        <v>40.96</v>
      </c>
      <c r="DD16" s="1">
        <v>38.97</v>
      </c>
      <c r="DE16">
        <v>71.569999999999993</v>
      </c>
      <c r="DF16">
        <v>67.52</v>
      </c>
      <c r="DG16" s="1">
        <v>64</v>
      </c>
      <c r="DH16">
        <v>60.95</v>
      </c>
      <c r="DI16">
        <v>58.27</v>
      </c>
      <c r="DJ16" s="1">
        <v>55.93</v>
      </c>
      <c r="DK16" s="1">
        <v>53.61</v>
      </c>
      <c r="DL16" s="1">
        <v>51.56</v>
      </c>
      <c r="DM16" s="1">
        <v>49.74</v>
      </c>
      <c r="DN16" s="1">
        <v>48.13</v>
      </c>
      <c r="DO16" s="1">
        <v>46.72</v>
      </c>
      <c r="DP16" s="1">
        <v>8</v>
      </c>
      <c r="DQ16" s="1">
        <v>8</v>
      </c>
      <c r="DR16" s="1">
        <v>8</v>
      </c>
      <c r="DS16" s="1">
        <v>8</v>
      </c>
      <c r="DT16" s="1">
        <v>8</v>
      </c>
      <c r="DU16" s="1">
        <v>2.6</v>
      </c>
      <c r="DV16" s="1">
        <v>2.67</v>
      </c>
      <c r="DW16" s="1">
        <v>2.74</v>
      </c>
      <c r="DX16" s="1">
        <v>2.81</v>
      </c>
      <c r="DY16" s="1">
        <v>2.88</v>
      </c>
      <c r="DZ16" s="1">
        <v>2.95</v>
      </c>
      <c r="EA16" s="1">
        <v>3.05</v>
      </c>
      <c r="EB16" s="1">
        <v>3.15</v>
      </c>
      <c r="EC16" s="1">
        <v>3.24</v>
      </c>
      <c r="ED16" s="1">
        <v>3.34</v>
      </c>
      <c r="EE16" s="1">
        <v>3.44</v>
      </c>
      <c r="EF16" s="1">
        <v>3.57</v>
      </c>
      <c r="EG16" s="1">
        <v>3.7</v>
      </c>
      <c r="EH16" s="1">
        <v>3.83</v>
      </c>
      <c r="EI16" s="1">
        <v>3.96</v>
      </c>
      <c r="EJ16" s="1">
        <v>4.09</v>
      </c>
      <c r="EK16" s="1">
        <v>4.24</v>
      </c>
      <c r="EL16" s="1">
        <v>4.41</v>
      </c>
      <c r="EM16" s="1">
        <v>4.58</v>
      </c>
      <c r="EN16" s="1">
        <v>4.7699999999999996</v>
      </c>
      <c r="EO16" s="1">
        <v>4.97</v>
      </c>
      <c r="EP16" s="1">
        <v>5.16</v>
      </c>
      <c r="EQ16" s="1">
        <v>5.41</v>
      </c>
      <c r="ER16" s="1">
        <v>5.65</v>
      </c>
      <c r="ES16" s="1">
        <v>5.91</v>
      </c>
      <c r="ET16" s="1">
        <v>6.19</v>
      </c>
      <c r="EU16" s="1">
        <v>6.49</v>
      </c>
      <c r="EV16" s="1">
        <v>6.8</v>
      </c>
      <c r="EW16" s="1">
        <v>7.14</v>
      </c>
      <c r="EX16" s="1">
        <v>7.49</v>
      </c>
      <c r="EY16" s="1">
        <v>7.86</v>
      </c>
      <c r="EZ16" s="1">
        <v>8.26</v>
      </c>
      <c r="FA16" s="10">
        <v>0</v>
      </c>
      <c r="FB16" s="10">
        <v>0</v>
      </c>
      <c r="FC16" s="10">
        <v>0</v>
      </c>
      <c r="FD16" s="10">
        <v>0</v>
      </c>
      <c r="FE16" s="1">
        <v>3.2</v>
      </c>
      <c r="FF16" s="1">
        <v>3.25</v>
      </c>
      <c r="FG16" s="1">
        <v>3.3</v>
      </c>
      <c r="FH16" s="1">
        <v>3.35</v>
      </c>
      <c r="FI16" s="1">
        <v>3.4</v>
      </c>
      <c r="FJ16" s="1">
        <v>3.45</v>
      </c>
      <c r="FK16" s="1">
        <v>3.52</v>
      </c>
      <c r="FL16" s="1">
        <v>3.59</v>
      </c>
      <c r="FM16" s="1">
        <v>3.66</v>
      </c>
      <c r="FN16" s="1">
        <v>3.73</v>
      </c>
      <c r="FO16" s="1">
        <v>3.8</v>
      </c>
      <c r="FP16" s="1">
        <v>3.9</v>
      </c>
      <c r="FQ16" s="1">
        <v>4</v>
      </c>
      <c r="FR16" s="1">
        <v>4.0999999999999996</v>
      </c>
      <c r="FS16" s="1">
        <v>4.2</v>
      </c>
      <c r="FT16" s="1">
        <v>4.3</v>
      </c>
      <c r="FU16" s="9">
        <v>0.88500000000000001</v>
      </c>
      <c r="FV16">
        <v>0.88700000000000001</v>
      </c>
      <c r="FW16" s="1">
        <v>0</v>
      </c>
      <c r="FX16" s="1">
        <v>0</v>
      </c>
      <c r="FY16" s="1">
        <v>0</v>
      </c>
      <c r="FZ16" s="9">
        <v>0.99</v>
      </c>
      <c r="GA16">
        <v>1.03</v>
      </c>
      <c r="GB16" s="1">
        <v>0</v>
      </c>
      <c r="GC16" s="9">
        <v>1.0980000000000001</v>
      </c>
      <c r="GD16" s="1">
        <v>0</v>
      </c>
      <c r="GE16" s="9">
        <v>1.1459999999999999</v>
      </c>
      <c r="GF16" s="9">
        <v>1.165</v>
      </c>
      <c r="GG16" s="1">
        <v>0</v>
      </c>
      <c r="GH16" s="1">
        <v>0</v>
      </c>
      <c r="GI16" s="9">
        <v>1.2230000000000001</v>
      </c>
      <c r="GJ16" s="9">
        <v>1.25</v>
      </c>
      <c r="GK16">
        <v>1.284</v>
      </c>
      <c r="GL16" s="9">
        <v>1.327</v>
      </c>
      <c r="GM16" s="1">
        <v>0</v>
      </c>
      <c r="GN16" s="1">
        <v>0</v>
      </c>
      <c r="GO16" s="9">
        <v>1.51</v>
      </c>
      <c r="GP16">
        <v>1.5840000000000001</v>
      </c>
      <c r="GQ16" s="1">
        <v>0</v>
      </c>
      <c r="GR16" s="1">
        <v>0</v>
      </c>
      <c r="GS16" s="1">
        <v>0</v>
      </c>
      <c r="GT16" s="9">
        <v>1.823</v>
      </c>
      <c r="GU16">
        <v>1.9370000000000001</v>
      </c>
      <c r="GV16" s="1">
        <v>0</v>
      </c>
      <c r="GW16" s="1">
        <v>0</v>
      </c>
      <c r="GX16" s="1">
        <v>0</v>
      </c>
      <c r="GY16" s="10">
        <v>0</v>
      </c>
      <c r="GZ16" s="1">
        <v>1.02</v>
      </c>
      <c r="HA16" s="1">
        <v>1.1200000000000001</v>
      </c>
      <c r="HB16" s="1">
        <v>1.24</v>
      </c>
      <c r="HC16" s="1">
        <v>1.36</v>
      </c>
      <c r="HD16" s="1">
        <v>1.49</v>
      </c>
      <c r="HE16" s="1">
        <v>1.64</v>
      </c>
      <c r="HF16" s="1">
        <v>1.79</v>
      </c>
      <c r="HG16" s="1">
        <v>1.96</v>
      </c>
      <c r="HH16" s="1">
        <v>2.14</v>
      </c>
      <c r="HI16" s="1">
        <v>2.34</v>
      </c>
      <c r="HJ16" s="1">
        <v>2.56</v>
      </c>
      <c r="HK16" s="1">
        <v>2.79</v>
      </c>
      <c r="HL16" s="1">
        <v>3.06</v>
      </c>
      <c r="HM16" s="1">
        <v>3.35</v>
      </c>
      <c r="HN16" s="1">
        <v>3.67</v>
      </c>
      <c r="HO16" s="1">
        <v>4.0199999999999996</v>
      </c>
      <c r="HP16" s="1">
        <v>42.45</v>
      </c>
      <c r="HQ16">
        <v>31.06</v>
      </c>
      <c r="HR16" s="1">
        <v>25.5</v>
      </c>
      <c r="HS16" s="1">
        <v>22.29</v>
      </c>
      <c r="HT16" s="1">
        <v>20.25</v>
      </c>
      <c r="HU16" s="1">
        <v>17.37</v>
      </c>
      <c r="HV16" s="1">
        <v>19.32</v>
      </c>
      <c r="HW16" s="1">
        <v>102.07</v>
      </c>
      <c r="HX16" s="1">
        <v>67.290000000000006</v>
      </c>
      <c r="HY16" s="1">
        <v>50.62</v>
      </c>
      <c r="HZ16" s="1">
        <v>39.909999999999997</v>
      </c>
      <c r="IA16" s="1">
        <v>33.07</v>
      </c>
      <c r="IB16" s="1">
        <v>28.61</v>
      </c>
      <c r="IC16" s="1">
        <v>699.4</v>
      </c>
      <c r="ID16" s="1">
        <v>586.4</v>
      </c>
      <c r="IE16" s="1">
        <v>498.5</v>
      </c>
      <c r="IF16" s="1">
        <v>414</v>
      </c>
      <c r="IG16" s="1">
        <v>349.4</v>
      </c>
      <c r="IH16" s="1">
        <v>263.3</v>
      </c>
      <c r="II16" s="1">
        <v>0</v>
      </c>
      <c r="IJ16" s="1">
        <v>64.930000000000007</v>
      </c>
      <c r="IK16" s="1">
        <v>56.72</v>
      </c>
      <c r="IL16" s="1">
        <v>0</v>
      </c>
      <c r="IM16" s="1">
        <v>0</v>
      </c>
      <c r="IN16" s="1">
        <v>0</v>
      </c>
      <c r="IO16" s="1">
        <v>0</v>
      </c>
      <c r="IP16" s="1">
        <v>0</v>
      </c>
      <c r="IQ16" s="1">
        <v>0</v>
      </c>
      <c r="IR16" s="1">
        <v>0</v>
      </c>
      <c r="IS16" s="1">
        <v>0</v>
      </c>
      <c r="IT16" s="1">
        <v>0</v>
      </c>
      <c r="IU16" s="1">
        <v>0</v>
      </c>
      <c r="IV16" s="1">
        <v>0</v>
      </c>
      <c r="IW16" s="1">
        <v>0</v>
      </c>
      <c r="IX16" s="1">
        <v>0</v>
      </c>
      <c r="IY16" s="1">
        <v>0</v>
      </c>
      <c r="IZ16" s="1">
        <v>0</v>
      </c>
      <c r="JA16" s="1">
        <v>25.87</v>
      </c>
      <c r="JB16" s="1">
        <v>78.180000000000007</v>
      </c>
      <c r="JC16" s="1">
        <v>59.33</v>
      </c>
      <c r="JD16" s="1">
        <v>4.5</v>
      </c>
      <c r="JE16" s="1">
        <v>4.54</v>
      </c>
      <c r="JF16" s="1">
        <v>4.58</v>
      </c>
      <c r="JG16" s="1">
        <v>4.62</v>
      </c>
      <c r="JH16" s="1">
        <v>4.66</v>
      </c>
      <c r="JI16" s="1">
        <v>4.7</v>
      </c>
      <c r="JJ16" s="1">
        <v>20.8</v>
      </c>
      <c r="JK16" s="1">
        <v>24.67</v>
      </c>
      <c r="JL16" s="1">
        <v>28.47</v>
      </c>
      <c r="JM16" s="1">
        <v>32.18</v>
      </c>
      <c r="JN16" s="1">
        <v>35.83</v>
      </c>
      <c r="JO16" s="1">
        <v>39.409999999999997</v>
      </c>
      <c r="JP16" s="1">
        <v>91.43</v>
      </c>
      <c r="JQ16" s="1">
        <v>74.33</v>
      </c>
      <c r="JR16" s="1">
        <v>63.13</v>
      </c>
      <c r="JS16" s="1">
        <v>54.99</v>
      </c>
      <c r="JT16" s="1">
        <v>48.35</v>
      </c>
      <c r="JU16" s="1">
        <v>43.22</v>
      </c>
      <c r="JV16" s="1">
        <v>39.19</v>
      </c>
      <c r="JW16" s="1">
        <v>90.73</v>
      </c>
      <c r="JX16" s="1">
        <v>73.58</v>
      </c>
      <c r="JY16" s="1">
        <v>62.38</v>
      </c>
      <c r="JZ16" s="1">
        <v>54.24</v>
      </c>
      <c r="KA16" s="1">
        <v>47.6</v>
      </c>
      <c r="KB16" s="1">
        <v>42.47</v>
      </c>
      <c r="KC16" s="1">
        <v>38.44</v>
      </c>
    </row>
    <row r="17" spans="1:289" x14ac:dyDescent="0.15">
      <c r="A17" s="8">
        <v>25</v>
      </c>
      <c r="B17" s="1">
        <v>17.37</v>
      </c>
      <c r="C17" s="1">
        <v>99.2</v>
      </c>
      <c r="D17" s="1">
        <v>89.67</v>
      </c>
      <c r="E17" s="1">
        <v>81.78</v>
      </c>
      <c r="F17" s="1">
        <v>75.14</v>
      </c>
      <c r="G17" s="1">
        <v>69.489999999999995</v>
      </c>
      <c r="H17" s="1">
        <v>64.63</v>
      </c>
      <c r="I17" s="1">
        <v>60.42</v>
      </c>
      <c r="J17" s="1">
        <v>56.72</v>
      </c>
      <c r="K17" s="1">
        <v>53.46</v>
      </c>
      <c r="L17" s="1">
        <v>50.57</v>
      </c>
      <c r="M17" s="1">
        <v>47.99</v>
      </c>
      <c r="N17" s="1">
        <v>45.41</v>
      </c>
      <c r="O17" s="1">
        <v>43.06</v>
      </c>
      <c r="P17" s="1">
        <v>40.93</v>
      </c>
      <c r="Q17" s="1">
        <v>38.979999999999997</v>
      </c>
      <c r="R17" s="1">
        <v>37.19</v>
      </c>
      <c r="S17" s="1">
        <v>35.549999999999997</v>
      </c>
      <c r="T17" s="1">
        <v>34.04</v>
      </c>
      <c r="U17" s="1">
        <v>32.64</v>
      </c>
      <c r="V17" s="1">
        <v>31.35</v>
      </c>
      <c r="W17" s="1">
        <v>30.16</v>
      </c>
      <c r="X17" s="1">
        <v>29.06</v>
      </c>
      <c r="Y17" s="1">
        <v>28.03</v>
      </c>
      <c r="Z17" s="1">
        <v>27.08</v>
      </c>
      <c r="AA17" s="1">
        <v>26.2</v>
      </c>
      <c r="AB17" s="1">
        <v>25.39</v>
      </c>
      <c r="AC17" s="1">
        <v>24.63</v>
      </c>
      <c r="AD17" s="1">
        <v>23.93</v>
      </c>
      <c r="AE17" s="1">
        <v>23.28</v>
      </c>
      <c r="AF17" s="1">
        <v>22.68</v>
      </c>
      <c r="AG17" s="1">
        <v>22.13</v>
      </c>
      <c r="AH17" s="1">
        <v>21.62</v>
      </c>
      <c r="AI17" s="1">
        <v>21.15</v>
      </c>
      <c r="AJ17" s="1">
        <v>20.72</v>
      </c>
      <c r="AK17" s="1">
        <v>20.329999999999998</v>
      </c>
      <c r="AL17" s="1">
        <v>19.97</v>
      </c>
      <c r="AM17" s="1">
        <v>19.64</v>
      </c>
      <c r="AN17" s="1">
        <v>19.34</v>
      </c>
      <c r="AO17" s="1">
        <v>19.07</v>
      </c>
      <c r="AP17" s="1">
        <v>18.82</v>
      </c>
      <c r="AQ17" s="1">
        <v>18.61</v>
      </c>
      <c r="AR17" s="10">
        <v>0</v>
      </c>
      <c r="AS17" s="10">
        <v>0</v>
      </c>
      <c r="AT17" s="1">
        <v>0</v>
      </c>
      <c r="AU17" s="10">
        <v>0</v>
      </c>
      <c r="AV17" s="10">
        <v>0</v>
      </c>
      <c r="AW17" s="1">
        <v>62.52</v>
      </c>
      <c r="AX17" s="1">
        <v>54.33</v>
      </c>
      <c r="AY17" s="1">
        <v>47.8</v>
      </c>
      <c r="AZ17" s="1">
        <v>42.79</v>
      </c>
      <c r="BA17" s="1">
        <v>38.880000000000003</v>
      </c>
      <c r="BB17" s="6">
        <v>103.81</v>
      </c>
      <c r="BC17" s="6">
        <v>94.12</v>
      </c>
      <c r="BD17" s="6">
        <v>86.11</v>
      </c>
      <c r="BE17" s="6">
        <v>79.400000000000006</v>
      </c>
      <c r="BF17" s="6">
        <v>73.709999999999994</v>
      </c>
      <c r="BG17" s="6">
        <v>68.83</v>
      </c>
      <c r="BH17" s="6">
        <v>64.599999999999994</v>
      </c>
      <c r="BI17" s="6">
        <v>60.92</v>
      </c>
      <c r="BJ17" s="6">
        <v>57.69</v>
      </c>
      <c r="BK17" s="6">
        <v>54.84</v>
      </c>
      <c r="BL17" s="6">
        <v>52.32</v>
      </c>
      <c r="BM17" s="6">
        <v>49.79</v>
      </c>
      <c r="BN17" s="6">
        <v>47.52</v>
      </c>
      <c r="BO17" s="6">
        <v>45.46</v>
      </c>
      <c r="BP17" s="6">
        <v>43.6</v>
      </c>
      <c r="BQ17" s="1">
        <v>104.47</v>
      </c>
      <c r="BR17" s="1">
        <v>70</v>
      </c>
      <c r="BS17" s="1">
        <v>53.8</v>
      </c>
      <c r="BT17" s="1">
        <v>43.78</v>
      </c>
      <c r="BU17" s="1">
        <v>37.96</v>
      </c>
      <c r="BV17" s="1">
        <v>34.880000000000003</v>
      </c>
      <c r="BW17" s="1">
        <v>103.99</v>
      </c>
      <c r="BX17" s="1">
        <v>69.7</v>
      </c>
      <c r="BY17" s="1">
        <v>53.45</v>
      </c>
      <c r="BZ17" s="1">
        <v>43.22</v>
      </c>
      <c r="CA17" s="6">
        <v>105.92</v>
      </c>
      <c r="CB17" s="6">
        <v>96.56</v>
      </c>
      <c r="CC17" s="6">
        <v>88.82</v>
      </c>
      <c r="CD17" s="6">
        <v>82.36</v>
      </c>
      <c r="CE17" s="6">
        <v>76.86</v>
      </c>
      <c r="CF17" s="6">
        <v>72.17</v>
      </c>
      <c r="CG17" s="6">
        <v>68.19</v>
      </c>
      <c r="CH17" s="1">
        <v>64.739999999999995</v>
      </c>
      <c r="CI17" s="1">
        <v>61.7</v>
      </c>
      <c r="CJ17" s="1">
        <v>59.04</v>
      </c>
      <c r="CK17" s="1">
        <v>56.7</v>
      </c>
      <c r="CL17" s="1">
        <v>54.42</v>
      </c>
      <c r="CM17" s="1">
        <v>52.38</v>
      </c>
      <c r="CN17" s="1">
        <v>50.58</v>
      </c>
      <c r="CO17" s="1">
        <v>48.93</v>
      </c>
      <c r="CP17" s="1">
        <v>99.58</v>
      </c>
      <c r="CQ17" s="5">
        <v>90.03</v>
      </c>
      <c r="CR17" s="5">
        <v>82.12</v>
      </c>
      <c r="CS17" s="1">
        <v>75.47</v>
      </c>
      <c r="CT17" s="1">
        <v>69.8</v>
      </c>
      <c r="CU17" s="1">
        <v>64.92</v>
      </c>
      <c r="CV17" s="1">
        <v>60.68</v>
      </c>
      <c r="CW17" s="1">
        <v>56.96</v>
      </c>
      <c r="CX17" s="1">
        <v>53.68</v>
      </c>
      <c r="CY17" s="1">
        <v>50.76</v>
      </c>
      <c r="CZ17" s="1">
        <v>48.16</v>
      </c>
      <c r="DA17" s="1">
        <v>45.54</v>
      </c>
      <c r="DB17" s="1">
        <v>43.17</v>
      </c>
      <c r="DC17" s="1">
        <v>41</v>
      </c>
      <c r="DD17" s="1">
        <v>39.01</v>
      </c>
      <c r="DE17">
        <v>72.010000000000005</v>
      </c>
      <c r="DF17">
        <v>67.98</v>
      </c>
      <c r="DG17" s="1">
        <v>64.5</v>
      </c>
      <c r="DH17">
        <v>61.47</v>
      </c>
      <c r="DI17">
        <v>58.83</v>
      </c>
      <c r="DJ17" s="1">
        <v>56.53</v>
      </c>
      <c r="DK17" s="1">
        <v>54.25</v>
      </c>
      <c r="DL17" s="1">
        <v>52.24</v>
      </c>
      <c r="DM17" s="1">
        <v>50.47</v>
      </c>
      <c r="DN17" s="1">
        <v>48.92</v>
      </c>
      <c r="DO17" s="1">
        <v>47.56</v>
      </c>
      <c r="DP17" s="1">
        <v>8</v>
      </c>
      <c r="DQ17" s="1">
        <v>8</v>
      </c>
      <c r="DR17" s="1">
        <v>8</v>
      </c>
      <c r="DS17" s="1">
        <v>8</v>
      </c>
      <c r="DT17" s="1">
        <v>8</v>
      </c>
      <c r="DU17" s="1">
        <v>2.64</v>
      </c>
      <c r="DV17" s="1">
        <v>2.72</v>
      </c>
      <c r="DW17" s="1">
        <v>2.79</v>
      </c>
      <c r="DX17" s="1">
        <v>2.87</v>
      </c>
      <c r="DY17" s="1">
        <v>2.94</v>
      </c>
      <c r="DZ17" s="1">
        <v>3.02</v>
      </c>
      <c r="EA17" s="1">
        <v>3.13</v>
      </c>
      <c r="EB17" s="1">
        <v>3.24</v>
      </c>
      <c r="EC17" s="1">
        <v>3.34</v>
      </c>
      <c r="ED17" s="1">
        <v>3.45</v>
      </c>
      <c r="EE17" s="1">
        <v>3.56</v>
      </c>
      <c r="EF17" s="1">
        <v>3.7</v>
      </c>
      <c r="EG17" s="1">
        <v>3.84</v>
      </c>
      <c r="EH17" s="1">
        <v>3.99</v>
      </c>
      <c r="EI17" s="1">
        <v>4.13</v>
      </c>
      <c r="EJ17" s="1">
        <v>4.2699999999999996</v>
      </c>
      <c r="EK17" s="1">
        <v>4.4400000000000004</v>
      </c>
      <c r="EL17" s="1">
        <v>4.62</v>
      </c>
      <c r="EM17" s="1">
        <v>4.82</v>
      </c>
      <c r="EN17" s="1">
        <v>5.0199999999999996</v>
      </c>
      <c r="EO17" s="1">
        <v>5.25</v>
      </c>
      <c r="EP17" s="1">
        <v>5.18</v>
      </c>
      <c r="EQ17" s="1">
        <v>5.74</v>
      </c>
      <c r="ER17" s="1">
        <v>6.01</v>
      </c>
      <c r="ES17" s="1">
        <v>6.3</v>
      </c>
      <c r="ET17" s="1">
        <v>6.61</v>
      </c>
      <c r="EU17" s="1">
        <v>6.94</v>
      </c>
      <c r="EV17" s="1">
        <v>7.29</v>
      </c>
      <c r="EW17" s="1">
        <v>7.66</v>
      </c>
      <c r="EX17" s="1">
        <v>8.0500000000000007</v>
      </c>
      <c r="EY17" s="1">
        <v>8.4600000000000009</v>
      </c>
      <c r="EZ17" s="10">
        <v>0</v>
      </c>
      <c r="FA17" s="10">
        <v>0</v>
      </c>
      <c r="FB17" s="10">
        <v>0</v>
      </c>
      <c r="FC17" s="10">
        <v>0</v>
      </c>
      <c r="FD17" s="1">
        <v>0</v>
      </c>
      <c r="FE17" s="1">
        <v>3.29</v>
      </c>
      <c r="FF17" s="1">
        <v>3.35</v>
      </c>
      <c r="FG17" s="1">
        <v>3.4</v>
      </c>
      <c r="FH17" s="1">
        <v>3.46</v>
      </c>
      <c r="FI17" s="1">
        <v>3.51</v>
      </c>
      <c r="FJ17" s="1">
        <v>3.57</v>
      </c>
      <c r="FK17" s="1">
        <v>3.65</v>
      </c>
      <c r="FL17" s="1">
        <v>3.73</v>
      </c>
      <c r="FM17" s="1">
        <v>3.8</v>
      </c>
      <c r="FN17" s="1">
        <v>3.88</v>
      </c>
      <c r="FO17" s="1">
        <v>3.96</v>
      </c>
      <c r="FP17" s="1">
        <v>4.07</v>
      </c>
      <c r="FQ17" s="1">
        <v>4.1900000000000004</v>
      </c>
      <c r="FR17" s="1">
        <v>4.3</v>
      </c>
      <c r="FS17" s="1">
        <v>4.42</v>
      </c>
      <c r="FT17" s="1">
        <v>4.53</v>
      </c>
      <c r="FU17" s="9">
        <v>0.93799999999999994</v>
      </c>
      <c r="FV17" s="1">
        <v>0</v>
      </c>
      <c r="FW17" s="1">
        <v>0</v>
      </c>
      <c r="FX17" s="1">
        <v>0</v>
      </c>
      <c r="FY17" s="1">
        <v>0</v>
      </c>
      <c r="FZ17" s="9">
        <v>1.042</v>
      </c>
      <c r="GA17" s="1">
        <v>0</v>
      </c>
      <c r="GB17" s="1">
        <v>0</v>
      </c>
      <c r="GC17" s="9">
        <v>1.139</v>
      </c>
      <c r="GD17" s="1">
        <v>0</v>
      </c>
      <c r="GE17" s="9">
        <v>1.198</v>
      </c>
      <c r="GF17" s="9">
        <v>1.226</v>
      </c>
      <c r="GG17" s="1">
        <v>0</v>
      </c>
      <c r="GH17" s="1">
        <v>0</v>
      </c>
      <c r="GI17" s="9">
        <v>1.3180000000000001</v>
      </c>
      <c r="GJ17" s="9">
        <v>1.3540000000000001</v>
      </c>
      <c r="GK17" s="1">
        <v>0</v>
      </c>
      <c r="GL17" s="9">
        <v>1.4410000000000001</v>
      </c>
      <c r="GM17" s="1">
        <v>0</v>
      </c>
      <c r="GN17" s="1">
        <v>0</v>
      </c>
      <c r="GO17" s="9">
        <v>1.615</v>
      </c>
      <c r="GP17" s="1">
        <v>0</v>
      </c>
      <c r="GQ17" s="1">
        <v>0</v>
      </c>
      <c r="GR17" s="1">
        <v>0</v>
      </c>
      <c r="GS17" s="1">
        <v>0</v>
      </c>
      <c r="GT17" s="9">
        <v>1.9790000000000001</v>
      </c>
      <c r="GU17" s="1">
        <v>0</v>
      </c>
      <c r="GV17" s="1">
        <v>0</v>
      </c>
      <c r="GW17" s="1">
        <v>0</v>
      </c>
      <c r="GX17" s="1">
        <v>0</v>
      </c>
      <c r="GY17" s="1">
        <v>0</v>
      </c>
      <c r="GZ17" s="1">
        <v>1.07</v>
      </c>
      <c r="HA17" s="1">
        <v>1.19</v>
      </c>
      <c r="HB17" s="1">
        <v>1.31</v>
      </c>
      <c r="HC17" s="1">
        <v>1.44</v>
      </c>
      <c r="HD17" s="1">
        <v>1.59</v>
      </c>
      <c r="HE17" s="1">
        <v>1.74</v>
      </c>
      <c r="HF17" s="1">
        <v>1.91</v>
      </c>
      <c r="HG17" s="1">
        <v>2.09</v>
      </c>
      <c r="HH17" s="1">
        <v>2.2999999999999998</v>
      </c>
      <c r="HI17" s="1">
        <v>2.52</v>
      </c>
      <c r="HJ17" s="1">
        <v>2.76</v>
      </c>
      <c r="HK17" s="1">
        <v>3.03</v>
      </c>
      <c r="HL17" s="1">
        <v>3.32</v>
      </c>
      <c r="HM17" s="1">
        <v>3.64</v>
      </c>
      <c r="HN17" s="1">
        <v>4</v>
      </c>
      <c r="HO17" s="1">
        <v>4.4000000000000004</v>
      </c>
      <c r="HP17" s="1">
        <v>43.49</v>
      </c>
      <c r="HQ17">
        <v>31.83</v>
      </c>
      <c r="HR17" s="1">
        <v>26.14</v>
      </c>
      <c r="HS17" s="1">
        <v>22.85</v>
      </c>
      <c r="HT17" s="1">
        <v>20.78</v>
      </c>
      <c r="HU17" s="1">
        <v>17.97</v>
      </c>
      <c r="HV17" s="1">
        <v>19.97</v>
      </c>
      <c r="HW17" s="1">
        <v>102.14</v>
      </c>
      <c r="HX17" s="1">
        <v>67.38</v>
      </c>
      <c r="HY17" s="1">
        <v>50.74</v>
      </c>
      <c r="HZ17" s="1">
        <v>40.08</v>
      </c>
      <c r="IA17" s="1">
        <v>33.31</v>
      </c>
      <c r="IB17" s="1">
        <v>28.94</v>
      </c>
      <c r="IC17" s="1">
        <v>699.4</v>
      </c>
      <c r="ID17" s="1">
        <v>586.4</v>
      </c>
      <c r="IE17" s="1">
        <v>498.5</v>
      </c>
      <c r="IF17" s="1">
        <v>414</v>
      </c>
      <c r="IG17" s="1">
        <v>349.4</v>
      </c>
      <c r="IH17" s="1">
        <v>263.3</v>
      </c>
      <c r="II17" s="1">
        <v>0</v>
      </c>
      <c r="IJ17" s="1">
        <v>65.02</v>
      </c>
      <c r="IK17" s="1">
        <v>56.83</v>
      </c>
      <c r="IL17" s="1">
        <v>0</v>
      </c>
      <c r="IM17" s="1">
        <v>0</v>
      </c>
      <c r="IN17" s="1">
        <v>0</v>
      </c>
      <c r="IO17" s="1">
        <v>0</v>
      </c>
      <c r="IP17" s="1">
        <v>0</v>
      </c>
      <c r="IQ17" s="1">
        <v>0</v>
      </c>
      <c r="IR17" s="1">
        <v>0</v>
      </c>
      <c r="IS17" s="1">
        <v>0</v>
      </c>
      <c r="IT17" s="1">
        <v>0</v>
      </c>
      <c r="IU17" s="1">
        <v>0</v>
      </c>
      <c r="IV17" s="1">
        <v>0</v>
      </c>
      <c r="IW17" s="1">
        <v>0</v>
      </c>
      <c r="IX17" s="1">
        <v>0</v>
      </c>
      <c r="IY17" s="1">
        <v>0</v>
      </c>
      <c r="IZ17" s="1">
        <v>0</v>
      </c>
      <c r="JA17" s="1">
        <v>25.98</v>
      </c>
      <c r="JB17" s="1">
        <v>78.28</v>
      </c>
      <c r="JC17" s="1">
        <v>59.33</v>
      </c>
      <c r="JD17" s="1">
        <v>4.58</v>
      </c>
      <c r="JE17" s="1">
        <v>4.6100000000000003</v>
      </c>
      <c r="JF17" s="1">
        <v>4.6500000000000004</v>
      </c>
      <c r="JG17" s="1">
        <v>4.7</v>
      </c>
      <c r="JH17" s="1">
        <v>4.74</v>
      </c>
      <c r="JI17" s="1">
        <v>4.79</v>
      </c>
      <c r="JJ17" s="1">
        <v>21.13</v>
      </c>
      <c r="JK17" s="1">
        <v>25.08</v>
      </c>
      <c r="JL17" s="1">
        <v>28.94</v>
      </c>
      <c r="JM17" s="1">
        <v>32.74</v>
      </c>
      <c r="JN17" s="1">
        <v>36.47</v>
      </c>
      <c r="JO17" s="1">
        <v>40.15</v>
      </c>
      <c r="JP17" s="1">
        <v>91.54</v>
      </c>
      <c r="JQ17" s="1">
        <v>74.400000000000006</v>
      </c>
      <c r="JR17" s="1">
        <v>63.22</v>
      </c>
      <c r="JS17" s="1">
        <v>55.09</v>
      </c>
      <c r="JT17" s="1">
        <v>48.48</v>
      </c>
      <c r="JU17" s="1">
        <v>43.38</v>
      </c>
      <c r="JV17" s="1">
        <v>39.4</v>
      </c>
      <c r="JW17" s="1">
        <v>90.79</v>
      </c>
      <c r="JX17" s="1">
        <v>73.650000000000006</v>
      </c>
      <c r="JY17" s="1">
        <v>62.47</v>
      </c>
      <c r="JZ17" s="1">
        <v>54.34</v>
      </c>
      <c r="KA17" s="1">
        <v>47.73</v>
      </c>
      <c r="KB17" s="1">
        <v>42.63</v>
      </c>
      <c r="KC17" s="1">
        <v>38.65</v>
      </c>
    </row>
    <row r="18" spans="1:289" x14ac:dyDescent="0.15">
      <c r="A18" s="8">
        <v>26</v>
      </c>
      <c r="B18" s="1">
        <v>17.940000000000001</v>
      </c>
      <c r="C18" s="1">
        <v>99.24</v>
      </c>
      <c r="D18" s="1">
        <v>89.71</v>
      </c>
      <c r="E18" s="1">
        <v>81.819999999999993</v>
      </c>
      <c r="F18" s="1">
        <v>75.19</v>
      </c>
      <c r="G18" s="1">
        <v>69.540000000000006</v>
      </c>
      <c r="H18" s="1">
        <v>64.680000000000007</v>
      </c>
      <c r="I18" s="1">
        <v>60.47</v>
      </c>
      <c r="J18" s="1">
        <v>56.78</v>
      </c>
      <c r="K18" s="1">
        <v>53.52</v>
      </c>
      <c r="L18" s="1">
        <v>50.63</v>
      </c>
      <c r="M18" s="1">
        <v>48.05</v>
      </c>
      <c r="N18" s="1">
        <v>45.48</v>
      </c>
      <c r="O18" s="1">
        <v>43.14</v>
      </c>
      <c r="P18" s="1">
        <v>41.01</v>
      </c>
      <c r="Q18" s="1">
        <v>39.07</v>
      </c>
      <c r="R18" s="1">
        <v>37.29</v>
      </c>
      <c r="S18" s="1">
        <v>35.65</v>
      </c>
      <c r="T18" s="1">
        <v>34.15</v>
      </c>
      <c r="U18" s="1">
        <v>32.76</v>
      </c>
      <c r="V18" s="1">
        <v>31.48</v>
      </c>
      <c r="W18" s="1">
        <v>30.29</v>
      </c>
      <c r="X18" s="1">
        <v>29.2</v>
      </c>
      <c r="Y18" s="1">
        <v>28.19</v>
      </c>
      <c r="Z18" s="1">
        <v>27.25</v>
      </c>
      <c r="AA18" s="1">
        <v>26.38</v>
      </c>
      <c r="AB18" s="1">
        <v>25.58</v>
      </c>
      <c r="AC18" s="1">
        <v>24.84</v>
      </c>
      <c r="AD18" s="1">
        <v>24.15</v>
      </c>
      <c r="AE18" s="1">
        <v>23.52</v>
      </c>
      <c r="AF18" s="1">
        <v>22.93</v>
      </c>
      <c r="AG18" s="1">
        <v>22.39</v>
      </c>
      <c r="AH18" s="1">
        <v>21.9</v>
      </c>
      <c r="AI18" s="1">
        <v>21.44</v>
      </c>
      <c r="AJ18" s="1">
        <v>21.02</v>
      </c>
      <c r="AK18" s="1">
        <v>20.64</v>
      </c>
      <c r="AL18" s="1">
        <v>20.3</v>
      </c>
      <c r="AM18" s="1">
        <v>19.98</v>
      </c>
      <c r="AN18" s="1">
        <v>19.7</v>
      </c>
      <c r="AO18" s="1">
        <v>19.440000000000001</v>
      </c>
      <c r="AP18" s="1">
        <v>19.21</v>
      </c>
      <c r="AQ18" s="10">
        <v>0</v>
      </c>
      <c r="AR18" s="10">
        <v>0</v>
      </c>
      <c r="AS18" s="1">
        <v>0</v>
      </c>
      <c r="AT18" s="10">
        <v>0</v>
      </c>
      <c r="AU18" s="10">
        <v>0</v>
      </c>
      <c r="AV18" s="1">
        <v>0</v>
      </c>
      <c r="AW18" s="1">
        <v>62.64</v>
      </c>
      <c r="AX18" s="1">
        <v>54.47</v>
      </c>
      <c r="AY18" s="1">
        <v>47.96</v>
      </c>
      <c r="AZ18" s="1">
        <v>42.99</v>
      </c>
      <c r="BA18" s="1">
        <v>39.130000000000003</v>
      </c>
      <c r="BB18" s="6">
        <v>103.92</v>
      </c>
      <c r="BC18" s="6">
        <v>94.24</v>
      </c>
      <c r="BD18" s="6">
        <v>86.24</v>
      </c>
      <c r="BE18" s="6">
        <v>79.540000000000006</v>
      </c>
      <c r="BF18" s="6">
        <v>73.86</v>
      </c>
      <c r="BG18" s="6">
        <v>68.989999999999995</v>
      </c>
      <c r="BH18" s="6">
        <v>64.78</v>
      </c>
      <c r="BI18" s="6">
        <v>61.11</v>
      </c>
      <c r="BJ18" s="6">
        <v>57.9</v>
      </c>
      <c r="BK18" s="6">
        <v>55.07</v>
      </c>
      <c r="BL18" s="6">
        <v>52.57</v>
      </c>
      <c r="BM18" s="6">
        <v>50.06</v>
      </c>
      <c r="BN18" s="6">
        <v>47.81</v>
      </c>
      <c r="BO18" s="6">
        <v>45.77</v>
      </c>
      <c r="BP18" s="6">
        <v>43.94</v>
      </c>
      <c r="BQ18" s="1">
        <v>104.7</v>
      </c>
      <c r="BR18" s="1">
        <v>70.290000000000006</v>
      </c>
      <c r="BS18" s="1">
        <v>54.19</v>
      </c>
      <c r="BT18" s="1">
        <v>44.32</v>
      </c>
      <c r="BU18" s="1">
        <v>38.74</v>
      </c>
      <c r="BV18" s="1">
        <v>35.83</v>
      </c>
      <c r="BW18" s="1">
        <v>104.13</v>
      </c>
      <c r="BX18" s="1">
        <v>69.88</v>
      </c>
      <c r="BY18" s="1">
        <v>53.69</v>
      </c>
      <c r="BZ18" s="1">
        <v>43.58</v>
      </c>
      <c r="CA18" s="6">
        <v>106.04</v>
      </c>
      <c r="CB18" s="6">
        <v>96.69</v>
      </c>
      <c r="CC18" s="6">
        <v>89</v>
      </c>
      <c r="CD18" s="6">
        <v>82.54</v>
      </c>
      <c r="CE18" s="6">
        <v>77.09</v>
      </c>
      <c r="CF18" s="6">
        <v>72.400000000000006</v>
      </c>
      <c r="CG18" s="6">
        <v>68.45</v>
      </c>
      <c r="CH18" s="1">
        <v>65.02</v>
      </c>
      <c r="CI18" s="1">
        <v>62</v>
      </c>
      <c r="CJ18" s="1">
        <v>59.37</v>
      </c>
      <c r="CK18" s="1">
        <v>57.06</v>
      </c>
      <c r="CL18" s="1">
        <v>54.83</v>
      </c>
      <c r="CM18" s="1">
        <v>52.81</v>
      </c>
      <c r="CN18" s="1">
        <v>51.03</v>
      </c>
      <c r="CO18" s="1">
        <v>49.41</v>
      </c>
      <c r="CP18" s="1">
        <v>99.61</v>
      </c>
      <c r="CQ18" s="5">
        <v>90.06</v>
      </c>
      <c r="CR18" s="5">
        <v>82.16</v>
      </c>
      <c r="CS18" s="1">
        <v>75.5</v>
      </c>
      <c r="CT18" s="1">
        <v>69.84</v>
      </c>
      <c r="CU18" s="1">
        <v>64.959999999999994</v>
      </c>
      <c r="CV18" s="1">
        <v>60.72</v>
      </c>
      <c r="CW18" s="1">
        <v>57</v>
      </c>
      <c r="CX18" s="1">
        <v>53.72</v>
      </c>
      <c r="CY18" s="1">
        <v>50.8</v>
      </c>
      <c r="CZ18" s="1">
        <v>48.2</v>
      </c>
      <c r="DA18" s="1">
        <v>45.59</v>
      </c>
      <c r="DB18" s="1">
        <v>43.21</v>
      </c>
      <c r="DC18" s="1">
        <v>41.05</v>
      </c>
      <c r="DD18" s="1">
        <v>39.06</v>
      </c>
      <c r="DE18">
        <v>72.489999999999995</v>
      </c>
      <c r="DF18">
        <v>68.489999999999995</v>
      </c>
      <c r="DG18">
        <v>65.040000000000006</v>
      </c>
      <c r="DH18">
        <v>62.05</v>
      </c>
      <c r="DI18">
        <v>59.46</v>
      </c>
      <c r="DJ18" s="1">
        <v>57.2</v>
      </c>
      <c r="DK18" s="1">
        <v>54.97</v>
      </c>
      <c r="DL18" s="1">
        <v>53.01</v>
      </c>
      <c r="DM18" s="1">
        <v>51.3</v>
      </c>
      <c r="DN18" s="1">
        <v>49.8</v>
      </c>
      <c r="DO18" s="1">
        <v>48.51</v>
      </c>
      <c r="DP18" s="1">
        <v>8</v>
      </c>
      <c r="DQ18" s="1">
        <v>8</v>
      </c>
      <c r="DR18" s="1">
        <v>8</v>
      </c>
      <c r="DS18" s="1">
        <v>8</v>
      </c>
      <c r="DT18" s="1">
        <v>8</v>
      </c>
      <c r="DU18" s="1">
        <v>2.68</v>
      </c>
      <c r="DV18" s="1">
        <v>2.76</v>
      </c>
      <c r="DW18" s="1">
        <v>2.85</v>
      </c>
      <c r="DX18" s="1">
        <v>2.93</v>
      </c>
      <c r="DY18" s="1">
        <v>3.02</v>
      </c>
      <c r="DZ18" s="1">
        <v>3.1</v>
      </c>
      <c r="EA18" s="1">
        <v>3.22</v>
      </c>
      <c r="EB18" s="1">
        <v>3.34</v>
      </c>
      <c r="EC18" s="1">
        <v>3.45</v>
      </c>
      <c r="ED18" s="1">
        <v>3.57</v>
      </c>
      <c r="EE18" s="1">
        <v>3.69</v>
      </c>
      <c r="EF18" s="1">
        <v>3.85</v>
      </c>
      <c r="EG18" s="1">
        <v>4</v>
      </c>
      <c r="EH18" s="1">
        <v>4.16</v>
      </c>
      <c r="EI18" s="1">
        <v>4.3099999999999996</v>
      </c>
      <c r="EJ18" s="1">
        <v>4.47</v>
      </c>
      <c r="EK18" s="1">
        <v>4.66</v>
      </c>
      <c r="EL18" s="1">
        <v>4.8600000000000003</v>
      </c>
      <c r="EM18" s="1">
        <v>5.08</v>
      </c>
      <c r="EN18" s="1">
        <v>5.31</v>
      </c>
      <c r="EO18" s="1">
        <v>5.56</v>
      </c>
      <c r="EP18" s="1">
        <v>5.83</v>
      </c>
      <c r="EQ18" s="1">
        <v>6.11</v>
      </c>
      <c r="ER18" s="1">
        <v>6.41</v>
      </c>
      <c r="ES18" s="1">
        <v>6.74</v>
      </c>
      <c r="ET18" s="1">
        <v>7.08</v>
      </c>
      <c r="EU18" s="1">
        <v>7.45</v>
      </c>
      <c r="EV18" s="1">
        <v>7.83</v>
      </c>
      <c r="EW18" s="1">
        <v>8.24</v>
      </c>
      <c r="EX18" s="1">
        <v>8.67</v>
      </c>
      <c r="EY18" s="10">
        <v>0</v>
      </c>
      <c r="EZ18" s="10">
        <v>0</v>
      </c>
      <c r="FA18" s="10">
        <v>0</v>
      </c>
      <c r="FB18" s="10">
        <v>0</v>
      </c>
      <c r="FC18" s="1">
        <v>0</v>
      </c>
      <c r="FD18" s="10">
        <v>0</v>
      </c>
      <c r="FE18" s="1">
        <v>3.39</v>
      </c>
      <c r="FF18" s="1">
        <v>3.45</v>
      </c>
      <c r="FG18" s="1">
        <v>3.51</v>
      </c>
      <c r="FH18" s="1">
        <v>3.58</v>
      </c>
      <c r="FI18" s="1">
        <v>3.64</v>
      </c>
      <c r="FJ18" s="1">
        <v>3.7</v>
      </c>
      <c r="FK18" s="1">
        <v>3.79</v>
      </c>
      <c r="FL18" s="1">
        <v>3.88</v>
      </c>
      <c r="FM18" s="1">
        <v>3.96</v>
      </c>
      <c r="FN18" s="1">
        <v>4.05</v>
      </c>
      <c r="FO18" s="1">
        <v>4.1399999999999997</v>
      </c>
      <c r="FP18" s="1">
        <v>4.2699999999999996</v>
      </c>
      <c r="FQ18" s="1">
        <v>4.4000000000000004</v>
      </c>
      <c r="FR18" s="1">
        <v>4.53</v>
      </c>
      <c r="FS18" s="1">
        <v>4.66</v>
      </c>
      <c r="FT18" s="1">
        <v>4.79</v>
      </c>
      <c r="FU18" s="9">
        <v>0.95</v>
      </c>
      <c r="FV18" s="1">
        <v>0</v>
      </c>
      <c r="FW18" s="1">
        <v>0</v>
      </c>
      <c r="FX18" s="1">
        <v>0</v>
      </c>
      <c r="FY18">
        <v>1.0660000000000001</v>
      </c>
      <c r="FZ18" s="9">
        <v>1.0940000000000001</v>
      </c>
      <c r="GA18" s="1">
        <v>0</v>
      </c>
      <c r="GB18" s="1">
        <v>0</v>
      </c>
      <c r="GC18" s="9">
        <v>1.1830000000000001</v>
      </c>
      <c r="GD18">
        <v>1.2150000000000001</v>
      </c>
      <c r="GE18" s="9">
        <v>1.25</v>
      </c>
      <c r="GF18" s="9">
        <v>1.2869999999999999</v>
      </c>
      <c r="GG18" s="1">
        <v>0</v>
      </c>
      <c r="GH18" s="1">
        <v>0</v>
      </c>
      <c r="GI18" s="9">
        <v>1.4119999999999999</v>
      </c>
      <c r="GJ18" s="9">
        <v>1.458</v>
      </c>
      <c r="GK18" s="1">
        <v>0</v>
      </c>
      <c r="GL18" s="9">
        <v>1.5569999999999999</v>
      </c>
      <c r="GM18" s="1">
        <v>0</v>
      </c>
      <c r="GN18">
        <v>1.6639999999999999</v>
      </c>
      <c r="GO18" s="9">
        <v>1.7190000000000001</v>
      </c>
      <c r="GP18" s="1">
        <v>0</v>
      </c>
      <c r="GQ18" s="1">
        <v>0</v>
      </c>
      <c r="GR18" s="1">
        <v>0</v>
      </c>
      <c r="GS18">
        <v>2.0510000000000002</v>
      </c>
      <c r="GT18" s="1">
        <v>0</v>
      </c>
      <c r="GU18" s="1">
        <v>0</v>
      </c>
      <c r="GV18" s="1">
        <v>0</v>
      </c>
      <c r="GW18" s="1">
        <v>0</v>
      </c>
      <c r="GX18" s="1">
        <v>0</v>
      </c>
      <c r="GY18" s="1">
        <v>0</v>
      </c>
      <c r="GZ18" s="1">
        <v>1.1299999999999999</v>
      </c>
      <c r="HA18" s="1">
        <v>1.25</v>
      </c>
      <c r="HB18" s="1">
        <v>1.39</v>
      </c>
      <c r="HC18" s="1">
        <v>1.53</v>
      </c>
      <c r="HD18" s="1">
        <v>1.69</v>
      </c>
      <c r="HE18" s="1">
        <v>1.86</v>
      </c>
      <c r="HF18" s="1">
        <v>2.0499999999999998</v>
      </c>
      <c r="HG18" s="1">
        <v>2.25</v>
      </c>
      <c r="HH18" s="1">
        <v>2.4700000000000002</v>
      </c>
      <c r="HI18" s="1">
        <v>2.72</v>
      </c>
      <c r="HJ18" s="1">
        <v>2.99</v>
      </c>
      <c r="HK18" s="1">
        <v>3.29</v>
      </c>
      <c r="HL18" s="1">
        <v>3.62</v>
      </c>
      <c r="HM18" s="1">
        <v>3.98</v>
      </c>
      <c r="HN18" s="1">
        <v>4.3899999999999997</v>
      </c>
      <c r="HO18" s="1">
        <v>4.83</v>
      </c>
      <c r="HP18" s="1">
        <v>44.55</v>
      </c>
      <c r="HQ18">
        <v>32.61</v>
      </c>
      <c r="HR18">
        <v>26.79</v>
      </c>
      <c r="HS18" s="1">
        <v>23.43</v>
      </c>
      <c r="HT18" s="1">
        <v>21.32</v>
      </c>
      <c r="HU18" s="1">
        <v>18.59</v>
      </c>
      <c r="HV18" s="1">
        <v>20.64</v>
      </c>
      <c r="HW18" s="1">
        <v>102.22</v>
      </c>
      <c r="HX18" s="1">
        <v>67.48</v>
      </c>
      <c r="HY18" s="1">
        <v>50.88</v>
      </c>
      <c r="HZ18" s="1">
        <v>40.270000000000003</v>
      </c>
      <c r="IA18" s="1">
        <v>33.58</v>
      </c>
      <c r="IB18" s="1">
        <v>29.32</v>
      </c>
      <c r="IC18" s="1">
        <v>699.4</v>
      </c>
      <c r="ID18" s="1">
        <v>586.4</v>
      </c>
      <c r="IE18" s="1">
        <v>498.5</v>
      </c>
      <c r="IF18" s="1">
        <v>414</v>
      </c>
      <c r="IG18" s="1">
        <v>349.4</v>
      </c>
      <c r="IH18" s="1">
        <v>263.3</v>
      </c>
      <c r="II18" s="1">
        <v>0</v>
      </c>
      <c r="IJ18" s="1">
        <v>65.14</v>
      </c>
      <c r="IK18" s="1">
        <v>56.97</v>
      </c>
      <c r="IL18" s="1">
        <v>0</v>
      </c>
      <c r="IM18" s="1">
        <v>0</v>
      </c>
      <c r="IN18" s="1">
        <v>0</v>
      </c>
      <c r="IO18" s="1">
        <v>0</v>
      </c>
      <c r="IP18" s="1">
        <v>0</v>
      </c>
      <c r="IQ18" s="1">
        <v>0</v>
      </c>
      <c r="IR18" s="1">
        <v>0</v>
      </c>
      <c r="IS18" s="1">
        <v>0</v>
      </c>
      <c r="IT18" s="1">
        <v>0</v>
      </c>
      <c r="IU18" s="1">
        <v>0</v>
      </c>
      <c r="IV18" s="1">
        <v>0</v>
      </c>
      <c r="IW18" s="1">
        <v>0</v>
      </c>
      <c r="IX18" s="1">
        <v>0</v>
      </c>
      <c r="IY18" s="1">
        <v>0</v>
      </c>
      <c r="IZ18" s="1">
        <v>0</v>
      </c>
      <c r="JA18" s="1">
        <v>26.1</v>
      </c>
      <c r="JB18" s="1">
        <v>78.28</v>
      </c>
      <c r="JC18" s="1">
        <v>59.43</v>
      </c>
      <c r="JD18" s="1">
        <v>4.6500000000000004</v>
      </c>
      <c r="JE18" s="1">
        <v>4.7</v>
      </c>
      <c r="JF18" s="1">
        <v>4.74</v>
      </c>
      <c r="JG18" s="1">
        <v>4.79</v>
      </c>
      <c r="JH18" s="1">
        <v>4.83</v>
      </c>
      <c r="JI18" s="1">
        <v>4.8899999999999997</v>
      </c>
      <c r="JJ18" s="1">
        <v>21.49</v>
      </c>
      <c r="JK18" s="1">
        <v>25.51</v>
      </c>
      <c r="JL18" s="1">
        <v>29.46</v>
      </c>
      <c r="JM18" s="1">
        <v>33.35</v>
      </c>
      <c r="JN18" s="1">
        <v>37.18</v>
      </c>
      <c r="JO18" s="1">
        <v>40.97</v>
      </c>
      <c r="JP18" s="1">
        <v>91.6</v>
      </c>
      <c r="JQ18" s="1">
        <v>74.48</v>
      </c>
      <c r="JR18" s="1">
        <v>63.31</v>
      </c>
      <c r="JS18" s="1">
        <v>55.21</v>
      </c>
      <c r="JT18" s="1">
        <v>48.62</v>
      </c>
      <c r="JU18" s="1">
        <v>43.57</v>
      </c>
      <c r="JV18" s="1">
        <v>39.630000000000003</v>
      </c>
      <c r="JW18" s="1">
        <v>90.85</v>
      </c>
      <c r="JX18" s="1">
        <v>73.73</v>
      </c>
      <c r="JY18" s="1">
        <v>62.56</v>
      </c>
      <c r="JZ18" s="1">
        <v>54.46</v>
      </c>
      <c r="KA18" s="1">
        <v>47.87</v>
      </c>
      <c r="KB18" s="1">
        <v>42.82</v>
      </c>
      <c r="KC18" s="1">
        <v>38.880000000000003</v>
      </c>
    </row>
    <row r="19" spans="1:289" x14ac:dyDescent="0.15">
      <c r="A19" s="8">
        <v>27</v>
      </c>
      <c r="B19" s="1">
        <v>18.54</v>
      </c>
      <c r="C19" s="1">
        <v>99.28</v>
      </c>
      <c r="D19" s="1">
        <v>89.75</v>
      </c>
      <c r="E19" s="1">
        <v>81.87</v>
      </c>
      <c r="F19" s="1">
        <v>75.239999999999995</v>
      </c>
      <c r="G19" s="1">
        <v>69.59</v>
      </c>
      <c r="H19" s="1">
        <v>64.739999999999995</v>
      </c>
      <c r="I19" s="1">
        <v>60.53</v>
      </c>
      <c r="J19" s="1">
        <v>56.84</v>
      </c>
      <c r="K19" s="1">
        <v>53.59</v>
      </c>
      <c r="L19" s="1">
        <v>50.7</v>
      </c>
      <c r="M19" s="1">
        <v>48.13</v>
      </c>
      <c r="N19" s="1">
        <v>45.56</v>
      </c>
      <c r="O19" s="1">
        <v>43.23</v>
      </c>
      <c r="P19" s="1">
        <v>41.1</v>
      </c>
      <c r="Q19" s="1">
        <v>38.17</v>
      </c>
      <c r="R19" s="1">
        <v>37.39</v>
      </c>
      <c r="S19" s="1">
        <v>35.76</v>
      </c>
      <c r="T19" s="1">
        <v>34.270000000000003</v>
      </c>
      <c r="U19" s="1">
        <v>32.89</v>
      </c>
      <c r="V19" s="1">
        <v>31.62</v>
      </c>
      <c r="W19" s="1">
        <v>30.45</v>
      </c>
      <c r="X19" s="1">
        <v>29.36</v>
      </c>
      <c r="Y19" s="1">
        <v>28.36</v>
      </c>
      <c r="Z19" s="1">
        <v>27.44</v>
      </c>
      <c r="AA19" s="1">
        <v>26.58</v>
      </c>
      <c r="AB19" s="1">
        <v>25.79</v>
      </c>
      <c r="AC19" s="1">
        <v>25.07</v>
      </c>
      <c r="AD19" s="1">
        <v>24.39</v>
      </c>
      <c r="AE19" s="1">
        <v>23.77</v>
      </c>
      <c r="AF19" s="1">
        <v>23.2</v>
      </c>
      <c r="AG19" s="1">
        <v>22.68</v>
      </c>
      <c r="AH19" s="1">
        <v>22.2</v>
      </c>
      <c r="AI19" s="1">
        <v>21.76</v>
      </c>
      <c r="AJ19" s="1">
        <v>21.36</v>
      </c>
      <c r="AK19" s="1">
        <v>20.99</v>
      </c>
      <c r="AL19" s="1">
        <v>20.66</v>
      </c>
      <c r="AM19" s="1">
        <v>20.36</v>
      </c>
      <c r="AN19" s="1">
        <v>20.09</v>
      </c>
      <c r="AO19" s="1">
        <v>19.850000000000001</v>
      </c>
      <c r="AP19" s="10">
        <v>0</v>
      </c>
      <c r="AQ19" s="10">
        <v>0</v>
      </c>
      <c r="AR19" s="1">
        <v>0</v>
      </c>
      <c r="AS19" s="10">
        <v>0</v>
      </c>
      <c r="AT19" s="10">
        <v>0</v>
      </c>
      <c r="AU19" s="1">
        <v>0</v>
      </c>
      <c r="AV19" s="10">
        <v>0</v>
      </c>
      <c r="AW19" s="1">
        <v>62.76</v>
      </c>
      <c r="AX19" s="1">
        <v>54.62</v>
      </c>
      <c r="AY19" s="1">
        <v>48.14</v>
      </c>
      <c r="AZ19" s="1">
        <v>43.22</v>
      </c>
      <c r="BA19" s="1">
        <v>39.42</v>
      </c>
      <c r="BB19" s="6">
        <v>104.03</v>
      </c>
      <c r="BC19" s="6">
        <v>94.35</v>
      </c>
      <c r="BD19" s="6">
        <v>86.37</v>
      </c>
      <c r="BE19" s="6">
        <v>79.680000000000007</v>
      </c>
      <c r="BF19" s="6">
        <v>74.010000000000005</v>
      </c>
      <c r="BG19" s="6">
        <v>69.16</v>
      </c>
      <c r="BH19" s="6">
        <v>64.959999999999994</v>
      </c>
      <c r="BI19" s="6">
        <v>61.31</v>
      </c>
      <c r="BJ19" s="6">
        <v>58.11</v>
      </c>
      <c r="BK19" s="6">
        <v>55.3</v>
      </c>
      <c r="BL19" s="6">
        <v>52.81</v>
      </c>
      <c r="BM19" s="6">
        <v>50.32</v>
      </c>
      <c r="BN19" s="6">
        <v>48.1</v>
      </c>
      <c r="BO19" s="6">
        <v>46.08</v>
      </c>
      <c r="BP19" s="6">
        <v>44.28</v>
      </c>
      <c r="BQ19" s="1">
        <v>104.95</v>
      </c>
      <c r="BR19" s="1">
        <v>70.62</v>
      </c>
      <c r="BS19" s="1">
        <v>54.63</v>
      </c>
      <c r="BT19" s="1">
        <v>44.94</v>
      </c>
      <c r="BU19" s="1">
        <v>39.58</v>
      </c>
      <c r="BV19" s="1">
        <v>36.86</v>
      </c>
      <c r="BW19" s="1">
        <v>104.28</v>
      </c>
      <c r="BX19" s="1">
        <v>70.08</v>
      </c>
      <c r="BY19" s="1">
        <v>53.97</v>
      </c>
      <c r="BZ19" s="1">
        <v>43.97</v>
      </c>
      <c r="CA19" s="6">
        <v>106.2</v>
      </c>
      <c r="CB19" s="6">
        <v>96.87</v>
      </c>
      <c r="CC19" s="6">
        <v>89.17</v>
      </c>
      <c r="CD19" s="6">
        <v>82.76</v>
      </c>
      <c r="CE19" s="6">
        <v>77.31</v>
      </c>
      <c r="CF19" s="6">
        <v>72.650000000000006</v>
      </c>
      <c r="CG19" s="6">
        <v>68.73</v>
      </c>
      <c r="CH19" s="1">
        <v>65.319999999999993</v>
      </c>
      <c r="CI19" s="1">
        <v>62.33</v>
      </c>
      <c r="CJ19" s="1">
        <v>59.73</v>
      </c>
      <c r="CK19" s="1">
        <v>57.44</v>
      </c>
      <c r="CL19" s="1">
        <v>55.24</v>
      </c>
      <c r="CM19" s="1">
        <v>53.3</v>
      </c>
      <c r="CN19" s="1">
        <v>51.54</v>
      </c>
      <c r="CO19" s="1">
        <v>49.99</v>
      </c>
      <c r="CP19" s="1">
        <v>99.64</v>
      </c>
      <c r="CQ19" s="5">
        <v>90.1</v>
      </c>
      <c r="CR19" s="5">
        <v>82.19</v>
      </c>
      <c r="CS19" s="1">
        <v>75.540000000000006</v>
      </c>
      <c r="CT19" s="1">
        <v>69.87</v>
      </c>
      <c r="CU19" s="1">
        <v>65</v>
      </c>
      <c r="CV19" s="1">
        <v>60.76</v>
      </c>
      <c r="CW19" s="1">
        <v>57.04</v>
      </c>
      <c r="CX19" s="1">
        <v>53.76</v>
      </c>
      <c r="CY19" s="1">
        <v>50.85</v>
      </c>
      <c r="CZ19" s="1">
        <v>48.25</v>
      </c>
      <c r="DA19" s="1">
        <v>45.64</v>
      </c>
      <c r="DB19" s="1">
        <v>43.26</v>
      </c>
      <c r="DC19" s="1">
        <v>41.1</v>
      </c>
      <c r="DD19" s="1">
        <v>39.119999999999997</v>
      </c>
      <c r="DE19">
        <v>73.040000000000006</v>
      </c>
      <c r="DF19">
        <v>69.069999999999993</v>
      </c>
      <c r="DG19">
        <v>65.66</v>
      </c>
      <c r="DH19">
        <v>62.71</v>
      </c>
      <c r="DI19">
        <v>60.16</v>
      </c>
      <c r="DJ19" s="1">
        <v>57.95</v>
      </c>
      <c r="DK19" s="1">
        <v>55.77</v>
      </c>
      <c r="DL19" s="1">
        <v>53.88</v>
      </c>
      <c r="DM19" s="1">
        <v>52.23</v>
      </c>
      <c r="DN19" s="1">
        <v>50.8</v>
      </c>
      <c r="DO19" s="1">
        <v>49.6</v>
      </c>
      <c r="DP19" s="1">
        <v>8</v>
      </c>
      <c r="DQ19" s="1">
        <v>8</v>
      </c>
      <c r="DR19" s="1">
        <v>8</v>
      </c>
      <c r="DS19" s="1">
        <v>8</v>
      </c>
      <c r="DT19" s="1">
        <v>8</v>
      </c>
      <c r="DU19" s="1">
        <v>2.73</v>
      </c>
      <c r="DV19" s="1">
        <v>2.82</v>
      </c>
      <c r="DW19" s="1">
        <v>2.91</v>
      </c>
      <c r="DX19" s="1">
        <v>3.01</v>
      </c>
      <c r="DY19" s="1">
        <v>3.1</v>
      </c>
      <c r="DZ19" s="1">
        <v>3.19</v>
      </c>
      <c r="EA19" s="1">
        <v>3.32</v>
      </c>
      <c r="EB19" s="1">
        <v>3.45</v>
      </c>
      <c r="EC19" s="1">
        <v>3.57</v>
      </c>
      <c r="ED19" s="1">
        <v>3.7</v>
      </c>
      <c r="EE19" s="1">
        <v>3.83</v>
      </c>
      <c r="EF19" s="1">
        <v>4</v>
      </c>
      <c r="EG19" s="1">
        <v>4.18</v>
      </c>
      <c r="EH19" s="1">
        <v>4.3499999999999996</v>
      </c>
      <c r="EI19" s="1">
        <v>4.53</v>
      </c>
      <c r="EJ19" s="1">
        <v>4.7</v>
      </c>
      <c r="EK19" s="1">
        <v>4.91</v>
      </c>
      <c r="EL19" s="1">
        <v>5.14</v>
      </c>
      <c r="EM19" s="1">
        <v>5.38</v>
      </c>
      <c r="EN19" s="1">
        <v>5.64</v>
      </c>
      <c r="EO19" s="1">
        <v>5.91</v>
      </c>
      <c r="EP19" s="1">
        <v>6.21</v>
      </c>
      <c r="EQ19" s="1">
        <v>6.53</v>
      </c>
      <c r="ER19" s="1">
        <v>6.87</v>
      </c>
      <c r="ES19" s="1">
        <v>7.23</v>
      </c>
      <c r="ET19" s="1">
        <v>7.61</v>
      </c>
      <c r="EU19" s="1">
        <v>8.01</v>
      </c>
      <c r="EV19" s="1">
        <v>8.44</v>
      </c>
      <c r="EW19" s="1">
        <v>8.8800000000000008</v>
      </c>
      <c r="EX19" s="10">
        <v>0</v>
      </c>
      <c r="EY19" s="10">
        <v>0</v>
      </c>
      <c r="EZ19" s="10">
        <v>0</v>
      </c>
      <c r="FA19" s="10">
        <v>0</v>
      </c>
      <c r="FB19" s="1">
        <v>0</v>
      </c>
      <c r="FC19" s="10">
        <v>0</v>
      </c>
      <c r="FD19" s="10">
        <v>0</v>
      </c>
      <c r="FE19" s="1">
        <v>3.5</v>
      </c>
      <c r="FF19" s="1">
        <v>3.57</v>
      </c>
      <c r="FG19" s="1">
        <v>3.64</v>
      </c>
      <c r="FH19" s="1">
        <v>3.7</v>
      </c>
      <c r="FI19" s="1">
        <v>3.77</v>
      </c>
      <c r="FJ19" s="1">
        <v>3.84</v>
      </c>
      <c r="FK19" s="1">
        <v>3.94</v>
      </c>
      <c r="FL19" s="1">
        <v>4.04</v>
      </c>
      <c r="FM19" s="1">
        <v>4.1399999999999997</v>
      </c>
      <c r="FN19" s="1">
        <v>4.24</v>
      </c>
      <c r="FO19" s="1">
        <v>4.34</v>
      </c>
      <c r="FP19" s="1">
        <v>4.49</v>
      </c>
      <c r="FQ19" s="1">
        <v>4.6399999999999997</v>
      </c>
      <c r="FR19" s="1">
        <v>4.78</v>
      </c>
      <c r="FS19" s="1">
        <v>4.93</v>
      </c>
      <c r="FT19" s="1">
        <v>5.08</v>
      </c>
      <c r="FU19" s="9">
        <v>0.99</v>
      </c>
      <c r="FV19" s="1">
        <v>0</v>
      </c>
      <c r="FW19" s="1">
        <v>0</v>
      </c>
      <c r="FX19">
        <v>1.097</v>
      </c>
      <c r="FY19" s="1">
        <v>0</v>
      </c>
      <c r="FZ19" s="9">
        <v>1.1459999999999999</v>
      </c>
      <c r="GA19" s="1">
        <v>0</v>
      </c>
      <c r="GB19" s="1">
        <v>0</v>
      </c>
      <c r="GC19" s="9">
        <v>1.228</v>
      </c>
      <c r="GD19" s="1">
        <v>0</v>
      </c>
      <c r="GE19" s="9">
        <v>1.302</v>
      </c>
      <c r="GF19" s="9">
        <v>1.3460000000000001</v>
      </c>
      <c r="GG19" s="1">
        <v>0</v>
      </c>
      <c r="GH19">
        <v>1.448</v>
      </c>
      <c r="GI19" s="9">
        <v>1.504</v>
      </c>
      <c r="GJ19" s="9">
        <v>1.5629999999999999</v>
      </c>
      <c r="GK19" s="1">
        <v>0</v>
      </c>
      <c r="GL19" s="9">
        <v>1.68</v>
      </c>
      <c r="GM19">
        <v>1.7350000000000001</v>
      </c>
      <c r="GN19" s="1">
        <v>0</v>
      </c>
      <c r="GO19" s="9">
        <v>1.823</v>
      </c>
      <c r="GP19" s="1">
        <v>0</v>
      </c>
      <c r="GQ19" s="1">
        <v>0</v>
      </c>
      <c r="GR19">
        <v>2.1139999999999999</v>
      </c>
      <c r="GS19" s="1">
        <v>0</v>
      </c>
      <c r="GT19" s="1">
        <v>0</v>
      </c>
      <c r="GU19" s="1">
        <v>0</v>
      </c>
      <c r="GV19" s="1">
        <v>0</v>
      </c>
      <c r="GW19" s="1">
        <v>0</v>
      </c>
      <c r="GX19" s="1">
        <v>0</v>
      </c>
      <c r="GY19" s="10">
        <v>0</v>
      </c>
      <c r="GZ19" s="1">
        <v>1.19</v>
      </c>
      <c r="HA19" s="1">
        <v>1.33</v>
      </c>
      <c r="HB19" s="1">
        <v>1.48</v>
      </c>
      <c r="HC19" s="1">
        <v>1.63</v>
      </c>
      <c r="HD19" s="1">
        <v>1.81</v>
      </c>
      <c r="HE19" s="1">
        <v>1.99</v>
      </c>
      <c r="HF19" s="1">
        <v>2.2000000000000002</v>
      </c>
      <c r="HG19" s="1">
        <v>2.4300000000000002</v>
      </c>
      <c r="HH19" s="1">
        <v>2.67</v>
      </c>
      <c r="HI19" s="1">
        <v>2.95</v>
      </c>
      <c r="HJ19" s="1">
        <v>3.25</v>
      </c>
      <c r="HK19" s="1">
        <v>3.58</v>
      </c>
      <c r="HL19" s="1">
        <v>3.95</v>
      </c>
      <c r="HM19" s="1">
        <v>4.3600000000000003</v>
      </c>
      <c r="HN19" s="1">
        <v>4.82</v>
      </c>
      <c r="HO19" s="1">
        <v>5.33</v>
      </c>
      <c r="HP19" s="1">
        <v>45.65</v>
      </c>
      <c r="HQ19">
        <v>33.43</v>
      </c>
      <c r="HR19" s="1">
        <v>27.47</v>
      </c>
      <c r="HS19" s="1">
        <v>24.04</v>
      </c>
      <c r="HT19" s="1">
        <v>21.89</v>
      </c>
      <c r="HU19" s="1">
        <v>19.25</v>
      </c>
      <c r="HV19" s="1">
        <v>21.36</v>
      </c>
      <c r="HW19" s="1">
        <v>102.3</v>
      </c>
      <c r="HX19" s="1">
        <v>67.59</v>
      </c>
      <c r="HY19" s="1">
        <v>51.03</v>
      </c>
      <c r="HZ19" s="1">
        <v>40.479999999999997</v>
      </c>
      <c r="IA19" s="1">
        <v>33.880000000000003</v>
      </c>
      <c r="IB19" s="1">
        <v>29.74</v>
      </c>
      <c r="IC19" s="1">
        <v>699.4</v>
      </c>
      <c r="ID19" s="1">
        <v>586.4</v>
      </c>
      <c r="IE19" s="1">
        <v>498.5</v>
      </c>
      <c r="IF19" s="1">
        <v>414</v>
      </c>
      <c r="IG19" s="1">
        <v>349.4</v>
      </c>
      <c r="IH19" s="1">
        <v>263.3</v>
      </c>
      <c r="II19" s="1">
        <v>0</v>
      </c>
      <c r="IJ19" s="1">
        <v>65.260000000000005</v>
      </c>
      <c r="IK19" s="1">
        <v>57.12</v>
      </c>
      <c r="IL19" s="1">
        <v>0</v>
      </c>
      <c r="IM19" s="1">
        <v>0</v>
      </c>
      <c r="IN19" s="1">
        <v>0</v>
      </c>
      <c r="IO19" s="1">
        <v>0</v>
      </c>
      <c r="IP19" s="1">
        <v>0</v>
      </c>
      <c r="IQ19" s="1">
        <v>0</v>
      </c>
      <c r="IR19" s="1">
        <v>0</v>
      </c>
      <c r="IS19" s="1">
        <v>0</v>
      </c>
      <c r="IT19" s="1">
        <v>0</v>
      </c>
      <c r="IU19" s="1">
        <v>0</v>
      </c>
      <c r="IV19" s="1">
        <v>0</v>
      </c>
      <c r="IW19" s="1">
        <v>0</v>
      </c>
      <c r="IX19" s="1">
        <v>0</v>
      </c>
      <c r="IY19" s="1">
        <v>0</v>
      </c>
      <c r="IZ19" s="1">
        <v>0</v>
      </c>
      <c r="JA19" s="1">
        <v>26.24</v>
      </c>
      <c r="JB19" s="1">
        <v>78.38</v>
      </c>
      <c r="JC19" s="1">
        <v>59.53</v>
      </c>
      <c r="JD19" s="1">
        <v>4.74</v>
      </c>
      <c r="JE19" s="1">
        <v>4.79</v>
      </c>
      <c r="JF19" s="1">
        <v>4.83</v>
      </c>
      <c r="JG19" s="1">
        <v>4.88</v>
      </c>
      <c r="JH19" s="1">
        <v>4.9400000000000004</v>
      </c>
      <c r="JI19" s="1">
        <v>5</v>
      </c>
      <c r="JJ19" s="1">
        <v>21.83</v>
      </c>
      <c r="JK19" s="1">
        <v>25.99</v>
      </c>
      <c r="JL19" s="1">
        <v>30.04</v>
      </c>
      <c r="JM19" s="1">
        <v>34.03</v>
      </c>
      <c r="JN19" s="1">
        <v>37.97</v>
      </c>
      <c r="JO19" s="1">
        <v>41.87</v>
      </c>
      <c r="JP19" s="1">
        <v>91.68</v>
      </c>
      <c r="JQ19" s="1">
        <v>74.569999999999993</v>
      </c>
      <c r="JR19" s="1">
        <v>63.42</v>
      </c>
      <c r="JS19" s="1">
        <v>55.34</v>
      </c>
      <c r="JT19" s="1">
        <v>48.79</v>
      </c>
      <c r="JU19" s="1">
        <v>43.78</v>
      </c>
      <c r="JV19" s="1">
        <v>39.89</v>
      </c>
      <c r="JW19" s="1">
        <v>90.93</v>
      </c>
      <c r="JX19" s="1">
        <v>73.819999999999993</v>
      </c>
      <c r="JY19" s="1">
        <v>62.67</v>
      </c>
      <c r="JZ19" s="1">
        <v>54.59</v>
      </c>
      <c r="KA19" s="1">
        <v>48.04</v>
      </c>
      <c r="KB19" s="1">
        <v>43.03</v>
      </c>
      <c r="KC19" s="1">
        <v>39.14</v>
      </c>
    </row>
    <row r="20" spans="1:289" x14ac:dyDescent="0.15">
      <c r="A20" s="8">
        <v>28</v>
      </c>
      <c r="B20" s="1">
        <v>19.170000000000002</v>
      </c>
      <c r="C20" s="1">
        <v>99.32</v>
      </c>
      <c r="D20" s="1">
        <v>89.8</v>
      </c>
      <c r="E20" s="1">
        <v>81.92</v>
      </c>
      <c r="F20" s="1">
        <v>75.290000000000006</v>
      </c>
      <c r="G20" s="1">
        <v>69.650000000000006</v>
      </c>
      <c r="H20" s="1">
        <v>64.8</v>
      </c>
      <c r="I20" s="1">
        <v>60.59</v>
      </c>
      <c r="J20" s="1">
        <v>56.91</v>
      </c>
      <c r="K20" s="1">
        <v>53.66</v>
      </c>
      <c r="L20" s="1">
        <v>50.78</v>
      </c>
      <c r="M20" s="1">
        <v>48.22</v>
      </c>
      <c r="N20" s="1">
        <v>45.65</v>
      </c>
      <c r="O20" s="1">
        <v>43.32</v>
      </c>
      <c r="P20" s="1">
        <v>41.21</v>
      </c>
      <c r="Q20" s="1">
        <v>39.28</v>
      </c>
      <c r="R20" s="1">
        <v>37.51</v>
      </c>
      <c r="S20" s="1">
        <v>35.89</v>
      </c>
      <c r="T20" s="1">
        <v>34.409999999999997</v>
      </c>
      <c r="U20" s="1">
        <v>33.04</v>
      </c>
      <c r="V20" s="1">
        <v>31.78</v>
      </c>
      <c r="W20" s="1">
        <v>30.62</v>
      </c>
      <c r="X20" s="1">
        <v>29.55</v>
      </c>
      <c r="Y20" s="1">
        <v>28.56</v>
      </c>
      <c r="Z20" s="1">
        <v>27.65</v>
      </c>
      <c r="AA20" s="1">
        <v>26.81</v>
      </c>
      <c r="AB20" s="1">
        <v>26.03</v>
      </c>
      <c r="AC20" s="1">
        <v>25.32</v>
      </c>
      <c r="AD20" s="1">
        <v>24.66</v>
      </c>
      <c r="AE20" s="1">
        <v>24.06</v>
      </c>
      <c r="AF20" s="1">
        <v>23.51</v>
      </c>
      <c r="AG20" s="1">
        <v>23</v>
      </c>
      <c r="AH20" s="1">
        <v>22.53</v>
      </c>
      <c r="AI20" s="1">
        <v>22.11</v>
      </c>
      <c r="AJ20" s="1">
        <v>21.72</v>
      </c>
      <c r="AK20" s="1">
        <v>21.37</v>
      </c>
      <c r="AL20" s="1">
        <v>21.06</v>
      </c>
      <c r="AM20" s="1">
        <v>20.77</v>
      </c>
      <c r="AN20" s="1">
        <v>20.52</v>
      </c>
      <c r="AO20" s="10">
        <v>0</v>
      </c>
      <c r="AP20" s="10">
        <v>0</v>
      </c>
      <c r="AQ20" s="1">
        <v>0</v>
      </c>
      <c r="AR20" s="10">
        <v>0</v>
      </c>
      <c r="AS20" s="10">
        <v>0</v>
      </c>
      <c r="AT20" s="10">
        <v>0</v>
      </c>
      <c r="AU20" s="10">
        <v>0</v>
      </c>
      <c r="AV20" s="10">
        <v>0</v>
      </c>
      <c r="AW20" s="1">
        <v>62.88</v>
      </c>
      <c r="AX20" s="1">
        <v>54.78</v>
      </c>
      <c r="AY20" s="1">
        <v>48.35</v>
      </c>
      <c r="AZ20" s="1">
        <v>43.48</v>
      </c>
      <c r="BA20" s="1">
        <v>39.74</v>
      </c>
      <c r="BB20" s="6">
        <v>104.13</v>
      </c>
      <c r="BC20" s="6">
        <v>94.47</v>
      </c>
      <c r="BD20" s="6">
        <v>86.49</v>
      </c>
      <c r="BE20" s="6">
        <v>79.819999999999993</v>
      </c>
      <c r="BF20" s="6">
        <v>74.16</v>
      </c>
      <c r="BG20" s="6">
        <v>69.319999999999993</v>
      </c>
      <c r="BH20" s="6">
        <v>65.13</v>
      </c>
      <c r="BI20" s="6">
        <v>61.5</v>
      </c>
      <c r="BJ20" s="6">
        <v>58.32</v>
      </c>
      <c r="BK20" s="6">
        <v>55.52</v>
      </c>
      <c r="BL20" s="6">
        <v>53.06</v>
      </c>
      <c r="BM20" s="6">
        <v>50.59</v>
      </c>
      <c r="BN20" s="6">
        <v>48.38</v>
      </c>
      <c r="BO20" s="6">
        <v>46.4</v>
      </c>
      <c r="BP20" s="6">
        <v>44.62</v>
      </c>
      <c r="BQ20" s="1">
        <v>105.23</v>
      </c>
      <c r="BR20" s="1">
        <v>70.98</v>
      </c>
      <c r="BS20" s="1">
        <v>55.13</v>
      </c>
      <c r="BT20" s="1">
        <v>45.63</v>
      </c>
      <c r="BU20" s="1">
        <v>40.51</v>
      </c>
      <c r="BV20" s="1">
        <v>37.97</v>
      </c>
      <c r="BW20" s="1">
        <v>104.44</v>
      </c>
      <c r="BX20" s="1">
        <v>70.3</v>
      </c>
      <c r="BY20" s="1">
        <v>54.29</v>
      </c>
      <c r="BZ20" s="1">
        <v>44.42</v>
      </c>
      <c r="CA20" s="6">
        <v>106.35</v>
      </c>
      <c r="CB20" s="6">
        <v>97.05</v>
      </c>
      <c r="CC20" s="6">
        <v>89.38</v>
      </c>
      <c r="CD20" s="6">
        <v>82.99</v>
      </c>
      <c r="CE20" s="6">
        <v>77.569999999999993</v>
      </c>
      <c r="CF20" s="6">
        <v>72.94</v>
      </c>
      <c r="CG20" s="6">
        <v>69.03</v>
      </c>
      <c r="CH20" s="1">
        <v>65.66</v>
      </c>
      <c r="CI20" s="1">
        <v>62.71</v>
      </c>
      <c r="CJ20" s="1">
        <v>60.14</v>
      </c>
      <c r="CK20" s="1">
        <v>57.87</v>
      </c>
      <c r="CL20" s="1">
        <v>55.72</v>
      </c>
      <c r="CM20" s="1">
        <v>53.83</v>
      </c>
      <c r="CN20" s="1">
        <v>52.13</v>
      </c>
      <c r="CO20" s="1">
        <v>50.63</v>
      </c>
      <c r="CP20" s="1">
        <v>99.68</v>
      </c>
      <c r="CQ20" s="5">
        <v>90.14</v>
      </c>
      <c r="CR20" s="5">
        <v>82.23</v>
      </c>
      <c r="CS20" s="1">
        <v>75.58</v>
      </c>
      <c r="CT20" s="1">
        <v>69.92</v>
      </c>
      <c r="CU20" s="1">
        <v>65.040000000000006</v>
      </c>
      <c r="CV20" s="1">
        <v>60.8</v>
      </c>
      <c r="CW20" s="1">
        <v>57.09</v>
      </c>
      <c r="CX20" s="1">
        <v>53.81</v>
      </c>
      <c r="CY20" s="1">
        <v>50.9</v>
      </c>
      <c r="CZ20" s="1">
        <v>48.3</v>
      </c>
      <c r="DA20" s="1">
        <v>45.69</v>
      </c>
      <c r="DB20" s="1">
        <v>43.32</v>
      </c>
      <c r="DC20" s="1">
        <v>41.16</v>
      </c>
      <c r="DD20" s="1">
        <v>39.18</v>
      </c>
      <c r="DE20">
        <v>73.64</v>
      </c>
      <c r="DF20">
        <v>69.72</v>
      </c>
      <c r="DG20">
        <v>66.349999999999994</v>
      </c>
      <c r="DH20">
        <v>63.45</v>
      </c>
      <c r="DI20">
        <v>60.95</v>
      </c>
      <c r="DJ20" s="1">
        <v>58.8</v>
      </c>
      <c r="DK20" s="1">
        <v>56.68</v>
      </c>
      <c r="DL20" s="1">
        <v>54.85</v>
      </c>
      <c r="DM20" s="1">
        <v>53.28</v>
      </c>
      <c r="DN20" s="1">
        <v>51.94</v>
      </c>
      <c r="DO20" s="1">
        <v>50.82</v>
      </c>
      <c r="DP20" s="1">
        <v>8</v>
      </c>
      <c r="DQ20" s="1">
        <v>8</v>
      </c>
      <c r="DR20" s="1">
        <v>8</v>
      </c>
      <c r="DS20" s="1">
        <v>8</v>
      </c>
      <c r="DT20" s="1">
        <v>8</v>
      </c>
      <c r="DU20" s="1">
        <v>2.78</v>
      </c>
      <c r="DV20" s="1">
        <v>2.88</v>
      </c>
      <c r="DW20" s="1">
        <v>2.98</v>
      </c>
      <c r="DX20" s="1">
        <v>3.09</v>
      </c>
      <c r="DY20" s="1">
        <v>3.19</v>
      </c>
      <c r="DZ20" s="1">
        <v>3.29</v>
      </c>
      <c r="EA20" s="1">
        <v>3.43</v>
      </c>
      <c r="EB20" s="1">
        <v>3.57</v>
      </c>
      <c r="EC20" s="1">
        <v>3.71</v>
      </c>
      <c r="ED20" s="1">
        <v>3.85</v>
      </c>
      <c r="EE20" s="1">
        <v>3.99</v>
      </c>
      <c r="EF20" s="1">
        <v>4.18</v>
      </c>
      <c r="EG20" s="1">
        <v>4.38</v>
      </c>
      <c r="EH20" s="1">
        <v>4.57</v>
      </c>
      <c r="EI20" s="1">
        <v>4.7699999999999996</v>
      </c>
      <c r="EJ20" s="1">
        <v>4.96</v>
      </c>
      <c r="EK20" s="1">
        <v>5.19</v>
      </c>
      <c r="EL20" s="1">
        <v>5.44</v>
      </c>
      <c r="EM20" s="1">
        <v>5.71</v>
      </c>
      <c r="EN20" s="1">
        <v>6</v>
      </c>
      <c r="EO20" s="1">
        <v>6.31</v>
      </c>
      <c r="EP20" s="1">
        <v>6.65</v>
      </c>
      <c r="EQ20" s="1">
        <v>7</v>
      </c>
      <c r="ER20" s="1">
        <v>7.37</v>
      </c>
      <c r="ES20" s="1">
        <v>7.77</v>
      </c>
      <c r="ET20" s="1">
        <v>8.1999999999999993</v>
      </c>
      <c r="EU20" s="1">
        <v>8.64</v>
      </c>
      <c r="EV20" s="1">
        <v>9.11</v>
      </c>
      <c r="EW20" s="10">
        <v>0</v>
      </c>
      <c r="EX20" s="10">
        <v>0</v>
      </c>
      <c r="EY20" s="10">
        <v>0</v>
      </c>
      <c r="EZ20" s="10">
        <v>0</v>
      </c>
      <c r="FA20" s="1">
        <v>0</v>
      </c>
      <c r="FB20" s="10">
        <v>0</v>
      </c>
      <c r="FC20" s="10">
        <v>0</v>
      </c>
      <c r="FD20" s="10">
        <v>0</v>
      </c>
      <c r="FE20" s="1">
        <v>3.62</v>
      </c>
      <c r="FF20" s="1">
        <v>3.7</v>
      </c>
      <c r="FG20" s="1">
        <v>3.77</v>
      </c>
      <c r="FH20" s="1">
        <v>3.85</v>
      </c>
      <c r="FI20" s="1">
        <v>3.92</v>
      </c>
      <c r="FJ20" s="1">
        <v>4</v>
      </c>
      <c r="FK20" s="1">
        <v>4.1100000000000003</v>
      </c>
      <c r="FL20" s="1">
        <v>4.2300000000000004</v>
      </c>
      <c r="FM20" s="1">
        <v>4.2300000000000004</v>
      </c>
      <c r="FN20" s="1">
        <v>4.46</v>
      </c>
      <c r="FO20" s="1">
        <v>4.57</v>
      </c>
      <c r="FP20" s="1">
        <v>4.74</v>
      </c>
      <c r="FQ20" s="1">
        <v>4.91</v>
      </c>
      <c r="FR20" s="1">
        <v>5.07</v>
      </c>
      <c r="FS20" s="1">
        <v>5.24</v>
      </c>
      <c r="FT20" s="1">
        <v>5.41</v>
      </c>
      <c r="FU20" s="9">
        <v>1.042</v>
      </c>
      <c r="FV20" s="1">
        <v>0</v>
      </c>
      <c r="FW20">
        <v>1.1240000000000001</v>
      </c>
      <c r="FX20" s="1">
        <v>0</v>
      </c>
      <c r="FY20" s="1">
        <v>0</v>
      </c>
      <c r="FZ20" s="9">
        <v>1.194</v>
      </c>
      <c r="GA20" s="1">
        <v>0</v>
      </c>
      <c r="GB20">
        <v>1.242</v>
      </c>
      <c r="GC20" s="9">
        <v>1.2729999999999999</v>
      </c>
      <c r="GD20" s="1">
        <v>0</v>
      </c>
      <c r="GE20" s="9">
        <v>1.3540000000000001</v>
      </c>
      <c r="GF20" s="9">
        <v>1.405</v>
      </c>
      <c r="GG20">
        <v>1.4630000000000001</v>
      </c>
      <c r="GH20" s="1">
        <v>0</v>
      </c>
      <c r="GI20" s="9">
        <v>1.595</v>
      </c>
      <c r="GJ20" s="9">
        <v>1.667</v>
      </c>
      <c r="GK20" s="1">
        <v>0</v>
      </c>
      <c r="GL20" s="9">
        <v>1.8109999999999999</v>
      </c>
      <c r="GM20" s="1">
        <v>0</v>
      </c>
      <c r="GN20" s="1">
        <v>0</v>
      </c>
      <c r="GO20" s="9">
        <v>1.9790000000000001</v>
      </c>
      <c r="GP20" s="1">
        <v>0</v>
      </c>
      <c r="GQ20">
        <v>2.17</v>
      </c>
      <c r="GR20" s="1">
        <v>0</v>
      </c>
      <c r="GS20" s="1">
        <v>0</v>
      </c>
      <c r="GT20" s="10">
        <v>0</v>
      </c>
      <c r="GU20" s="1">
        <v>0</v>
      </c>
      <c r="GV20" s="1">
        <v>0</v>
      </c>
      <c r="GW20" s="1">
        <v>0</v>
      </c>
      <c r="GX20" s="1">
        <v>0</v>
      </c>
      <c r="GY20" s="10">
        <v>0</v>
      </c>
      <c r="GZ20" s="1">
        <v>1.27</v>
      </c>
      <c r="HA20" s="1">
        <v>1.41</v>
      </c>
      <c r="HB20" s="1">
        <v>1.57</v>
      </c>
      <c r="HC20" s="1">
        <v>1.75</v>
      </c>
      <c r="HD20" s="1">
        <v>1.94</v>
      </c>
      <c r="HE20" s="1">
        <v>2.14</v>
      </c>
      <c r="HF20" s="1">
        <v>2.37</v>
      </c>
      <c r="HG20" s="1">
        <v>2.62</v>
      </c>
      <c r="HH20" s="1">
        <v>2.9</v>
      </c>
      <c r="HI20" s="1">
        <v>3.21</v>
      </c>
      <c r="HJ20" s="1">
        <v>3.55</v>
      </c>
      <c r="HK20" s="1">
        <v>3.92</v>
      </c>
      <c r="HL20" s="1">
        <v>4.34</v>
      </c>
      <c r="HM20" s="1">
        <v>4.8</v>
      </c>
      <c r="HN20" s="1">
        <v>5.31</v>
      </c>
      <c r="HO20" s="1">
        <v>5.89</v>
      </c>
      <c r="HP20" s="1">
        <v>46.78</v>
      </c>
      <c r="HQ20">
        <v>34.26</v>
      </c>
      <c r="HR20" s="1">
        <v>28.17</v>
      </c>
      <c r="HS20" s="1">
        <v>24.67</v>
      </c>
      <c r="HT20" s="1">
        <v>22.49</v>
      </c>
      <c r="HU20" s="1">
        <v>19.940000000000001</v>
      </c>
      <c r="HV20" s="1">
        <v>22.11</v>
      </c>
      <c r="HW20" s="1">
        <v>102.39</v>
      </c>
      <c r="HX20" s="1">
        <v>67.72</v>
      </c>
      <c r="HY20" s="1">
        <v>51.2</v>
      </c>
      <c r="HZ20" s="1">
        <v>40.729999999999997</v>
      </c>
      <c r="IA20" s="1">
        <v>34.22</v>
      </c>
      <c r="IB20" s="1">
        <v>30.2</v>
      </c>
      <c r="IC20" s="1">
        <v>699.4</v>
      </c>
      <c r="ID20" s="1">
        <v>586.4</v>
      </c>
      <c r="IE20" s="1">
        <v>498.5</v>
      </c>
      <c r="IF20" s="1">
        <v>419.5</v>
      </c>
      <c r="IG20" s="1">
        <v>358.6</v>
      </c>
      <c r="IH20" s="1">
        <v>283.2</v>
      </c>
      <c r="II20" s="1">
        <v>0</v>
      </c>
      <c r="IJ20" s="1">
        <v>65.38</v>
      </c>
      <c r="IK20" s="1">
        <v>57.28</v>
      </c>
      <c r="IL20" s="1">
        <v>0</v>
      </c>
      <c r="IM20" s="1">
        <v>0</v>
      </c>
      <c r="IN20" s="1">
        <v>0</v>
      </c>
      <c r="IO20" s="1">
        <v>0</v>
      </c>
      <c r="IP20" s="1">
        <v>0</v>
      </c>
      <c r="IQ20" s="1">
        <v>0</v>
      </c>
      <c r="IR20" s="1">
        <v>0</v>
      </c>
      <c r="IS20" s="1">
        <v>0</v>
      </c>
      <c r="IT20" s="1">
        <v>0</v>
      </c>
      <c r="IU20" s="1">
        <v>0</v>
      </c>
      <c r="IV20" s="1">
        <v>0</v>
      </c>
      <c r="IW20" s="1">
        <v>0</v>
      </c>
      <c r="IX20" s="1">
        <v>0</v>
      </c>
      <c r="IY20" s="1">
        <v>0</v>
      </c>
      <c r="IZ20" s="1">
        <v>0</v>
      </c>
      <c r="JA20" s="1">
        <v>26.4</v>
      </c>
      <c r="JB20" s="1">
        <v>78.38</v>
      </c>
      <c r="JC20" s="1">
        <v>59.64</v>
      </c>
      <c r="JD20" s="1">
        <v>4.83</v>
      </c>
      <c r="JE20" s="1">
        <v>4.88</v>
      </c>
      <c r="JF20" s="1">
        <v>4.9400000000000004</v>
      </c>
      <c r="JG20" s="1">
        <v>4.99</v>
      </c>
      <c r="JH20" s="1">
        <v>5.05</v>
      </c>
      <c r="JI20" s="1">
        <v>5.12</v>
      </c>
      <c r="JJ20" s="1">
        <v>22.31</v>
      </c>
      <c r="JK20" s="1">
        <v>26.52</v>
      </c>
      <c r="JL20" s="1">
        <v>30.67</v>
      </c>
      <c r="JM20" s="1">
        <v>34.770000000000003</v>
      </c>
      <c r="JN20" s="1">
        <v>38.840000000000003</v>
      </c>
      <c r="JO20" s="1">
        <v>42.87</v>
      </c>
      <c r="JP20" s="1">
        <v>91.76</v>
      </c>
      <c r="JQ20" s="1">
        <v>74.66</v>
      </c>
      <c r="JR20" s="1">
        <v>63.54</v>
      </c>
      <c r="JS20" s="1">
        <v>55.49</v>
      </c>
      <c r="JT20" s="1">
        <v>48.97</v>
      </c>
      <c r="JU20" s="1">
        <v>44.01</v>
      </c>
      <c r="JV20" s="1">
        <v>40.18</v>
      </c>
      <c r="JW20" s="1">
        <v>91.01</v>
      </c>
      <c r="JX20" s="1">
        <v>73.91</v>
      </c>
      <c r="JY20" s="1">
        <v>62.79</v>
      </c>
      <c r="JZ20" s="1">
        <v>54.74</v>
      </c>
      <c r="KA20" s="1">
        <v>48.22</v>
      </c>
      <c r="KB20" s="1">
        <v>43.26</v>
      </c>
      <c r="KC20" s="1">
        <v>39.43</v>
      </c>
    </row>
    <row r="21" spans="1:289" x14ac:dyDescent="0.15">
      <c r="A21" s="8">
        <v>29</v>
      </c>
      <c r="B21" s="1">
        <v>19.82</v>
      </c>
      <c r="C21" s="1">
        <v>99.37</v>
      </c>
      <c r="D21" s="1">
        <v>89.85</v>
      </c>
      <c r="E21" s="1">
        <v>81.98</v>
      </c>
      <c r="F21" s="1">
        <v>75.349999999999994</v>
      </c>
      <c r="G21" s="1">
        <v>69.72</v>
      </c>
      <c r="H21" s="1">
        <v>64.87</v>
      </c>
      <c r="I21" s="1">
        <v>60.66</v>
      </c>
      <c r="J21" s="1">
        <v>56.98</v>
      </c>
      <c r="K21" s="1">
        <v>53.74</v>
      </c>
      <c r="L21" s="1">
        <v>50.87</v>
      </c>
      <c r="M21" s="1">
        <v>48.31</v>
      </c>
      <c r="N21" s="1">
        <v>45.75</v>
      </c>
      <c r="O21" s="1">
        <v>43.43</v>
      </c>
      <c r="P21" s="1">
        <v>41.32</v>
      </c>
      <c r="Q21" s="1">
        <v>39.4</v>
      </c>
      <c r="R21" s="1">
        <v>37.65</v>
      </c>
      <c r="S21" s="1">
        <v>36.04</v>
      </c>
      <c r="T21" s="1">
        <v>34.56</v>
      </c>
      <c r="U21" s="1">
        <v>33.21</v>
      </c>
      <c r="V21" s="1">
        <v>31.96</v>
      </c>
      <c r="W21" s="1">
        <v>30.81</v>
      </c>
      <c r="X21" s="1">
        <v>29.76</v>
      </c>
      <c r="Y21" s="1">
        <v>28.78</v>
      </c>
      <c r="Z21" s="1">
        <v>27.89</v>
      </c>
      <c r="AA21" s="1">
        <v>27.06</v>
      </c>
      <c r="AB21" s="1">
        <v>26.3</v>
      </c>
      <c r="AC21" s="1">
        <v>25.6</v>
      </c>
      <c r="AD21" s="1">
        <v>24.96</v>
      </c>
      <c r="AE21" s="1">
        <v>24.38</v>
      </c>
      <c r="AF21" s="1">
        <v>23.84</v>
      </c>
      <c r="AG21" s="1">
        <v>23.34</v>
      </c>
      <c r="AH21" s="1">
        <v>22.9</v>
      </c>
      <c r="AI21" s="1">
        <v>22.49</v>
      </c>
      <c r="AJ21" s="1">
        <v>22.12</v>
      </c>
      <c r="AK21" s="1">
        <v>21.79</v>
      </c>
      <c r="AL21" s="1">
        <v>21.49</v>
      </c>
      <c r="AM21" s="1">
        <v>21.22</v>
      </c>
      <c r="AN21" s="10">
        <v>0</v>
      </c>
      <c r="AO21" s="10">
        <v>0</v>
      </c>
      <c r="AP21" s="1">
        <v>0</v>
      </c>
      <c r="AQ21" s="10">
        <v>0</v>
      </c>
      <c r="AR21" s="1">
        <v>0</v>
      </c>
      <c r="AS21" s="1">
        <v>0</v>
      </c>
      <c r="AT21" s="1">
        <v>0</v>
      </c>
      <c r="AU21" s="1">
        <v>0</v>
      </c>
      <c r="AV21" s="1">
        <v>0</v>
      </c>
      <c r="AW21" s="1">
        <v>63.03</v>
      </c>
      <c r="AX21" s="1">
        <v>54.95</v>
      </c>
      <c r="AY21" s="1">
        <v>48.58</v>
      </c>
      <c r="AZ21" s="1">
        <v>43.76</v>
      </c>
      <c r="BA21" s="1">
        <v>40.090000000000003</v>
      </c>
      <c r="BB21" s="6">
        <v>104.24</v>
      </c>
      <c r="BC21" s="6">
        <v>94.58</v>
      </c>
      <c r="BD21" s="6">
        <v>86.62</v>
      </c>
      <c r="BE21" s="6">
        <v>79.959999999999994</v>
      </c>
      <c r="BF21" s="6">
        <v>74.31</v>
      </c>
      <c r="BG21" s="6">
        <v>69.489999999999995</v>
      </c>
      <c r="BH21" s="6">
        <v>65.31</v>
      </c>
      <c r="BI21" s="6">
        <v>61.7</v>
      </c>
      <c r="BJ21" s="6">
        <v>58.53</v>
      </c>
      <c r="BK21" s="6">
        <v>55.75</v>
      </c>
      <c r="BL21" s="6">
        <v>53.3</v>
      </c>
      <c r="BM21" s="6">
        <v>50.85</v>
      </c>
      <c r="BN21" s="6">
        <v>48.67</v>
      </c>
      <c r="BO21" s="6">
        <v>46.71</v>
      </c>
      <c r="BP21" s="6">
        <v>44.96</v>
      </c>
      <c r="BQ21" s="1">
        <v>105.53</v>
      </c>
      <c r="BR21" s="1">
        <v>71.39</v>
      </c>
      <c r="BS21" s="1">
        <v>55.69</v>
      </c>
      <c r="BT21" s="1">
        <v>46.41</v>
      </c>
      <c r="BU21" s="1">
        <v>41.54</v>
      </c>
      <c r="BV21" s="1">
        <v>39.17</v>
      </c>
      <c r="BW21" s="1">
        <v>104.62</v>
      </c>
      <c r="BX21" s="1">
        <v>70.56</v>
      </c>
      <c r="BY21" s="1">
        <v>54.64</v>
      </c>
      <c r="BZ21" s="1">
        <v>44.93</v>
      </c>
      <c r="CA21" s="6">
        <v>106.53</v>
      </c>
      <c r="CB21" s="6">
        <v>97.26</v>
      </c>
      <c r="CC21" s="6">
        <v>89.61</v>
      </c>
      <c r="CD21" s="6">
        <v>83.25</v>
      </c>
      <c r="CE21" s="6">
        <v>77.86</v>
      </c>
      <c r="CF21" s="6">
        <v>73.25</v>
      </c>
      <c r="CG21" s="6">
        <v>69.37</v>
      </c>
      <c r="CH21" s="1">
        <v>66.040000000000006</v>
      </c>
      <c r="CI21" s="1">
        <v>63.13</v>
      </c>
      <c r="CJ21" s="1">
        <v>60.6</v>
      </c>
      <c r="CK21" s="1">
        <v>58.36</v>
      </c>
      <c r="CL21" s="1">
        <v>56.29</v>
      </c>
      <c r="CM21" s="1">
        <v>54.42</v>
      </c>
      <c r="CN21" s="1">
        <v>52.79</v>
      </c>
      <c r="CO21" s="1">
        <v>51.32</v>
      </c>
      <c r="CP21" s="1">
        <v>99.72</v>
      </c>
      <c r="CQ21" s="5">
        <v>90.18</v>
      </c>
      <c r="CR21" s="5">
        <v>82.27</v>
      </c>
      <c r="CS21" s="1">
        <v>75.62</v>
      </c>
      <c r="CT21" s="1">
        <v>69.959999999999994</v>
      </c>
      <c r="CU21" s="1">
        <v>65.09</v>
      </c>
      <c r="CV21" s="1">
        <v>60.85</v>
      </c>
      <c r="CW21" s="1">
        <v>57.14</v>
      </c>
      <c r="CX21" s="1">
        <v>53.86</v>
      </c>
      <c r="CY21" s="1">
        <v>50.96</v>
      </c>
      <c r="CZ21" s="1">
        <v>48.36</v>
      </c>
      <c r="DA21" s="1">
        <v>45.75</v>
      </c>
      <c r="DB21" s="1">
        <v>43.38</v>
      </c>
      <c r="DC21" s="1">
        <v>41.23</v>
      </c>
      <c r="DD21" s="1">
        <v>39.25</v>
      </c>
      <c r="DE21">
        <v>74.31</v>
      </c>
      <c r="DF21">
        <v>70.44</v>
      </c>
      <c r="DG21">
        <v>67.12</v>
      </c>
      <c r="DH21">
        <v>64.27</v>
      </c>
      <c r="DI21">
        <v>61.84</v>
      </c>
      <c r="DJ21" s="1">
        <v>59.75</v>
      </c>
      <c r="DK21" s="1">
        <v>57.71</v>
      </c>
      <c r="DL21" s="1">
        <v>55.96</v>
      </c>
      <c r="DM21" s="1">
        <v>54.47</v>
      </c>
      <c r="DN21" s="1">
        <v>53.23</v>
      </c>
      <c r="DO21" s="1">
        <v>52.2</v>
      </c>
      <c r="DP21" s="1">
        <v>8</v>
      </c>
      <c r="DQ21" s="1">
        <v>8</v>
      </c>
      <c r="DR21" s="1">
        <v>8</v>
      </c>
      <c r="DS21" s="1">
        <v>8</v>
      </c>
      <c r="DT21" s="1">
        <v>8</v>
      </c>
      <c r="DU21" s="1">
        <v>2.84</v>
      </c>
      <c r="DV21" s="1">
        <v>2.95</v>
      </c>
      <c r="DW21" s="1">
        <v>3.06</v>
      </c>
      <c r="DX21" s="1">
        <v>3.18</v>
      </c>
      <c r="DY21" s="1">
        <v>3.29</v>
      </c>
      <c r="DZ21" s="1">
        <v>3.4</v>
      </c>
      <c r="EA21" s="1">
        <v>3.55</v>
      </c>
      <c r="EB21" s="1">
        <v>3.71</v>
      </c>
      <c r="EC21" s="1">
        <v>3.86</v>
      </c>
      <c r="ED21" s="1">
        <v>4.0199999999999996</v>
      </c>
      <c r="EE21" s="1">
        <v>4.17</v>
      </c>
      <c r="EF21" s="1">
        <v>4.3899999999999997</v>
      </c>
      <c r="EG21" s="1">
        <v>4.5999999999999996</v>
      </c>
      <c r="EH21" s="1">
        <v>4.82</v>
      </c>
      <c r="EI21" s="1">
        <v>5.03</v>
      </c>
      <c r="EJ21" s="1">
        <v>5.25</v>
      </c>
      <c r="EK21" s="1">
        <v>5.51</v>
      </c>
      <c r="EL21" s="1">
        <v>5.79</v>
      </c>
      <c r="EM21" s="1">
        <v>6.09</v>
      </c>
      <c r="EN21" s="1">
        <v>6.42</v>
      </c>
      <c r="EO21" s="1">
        <v>6.76</v>
      </c>
      <c r="EP21" s="1">
        <v>7.13</v>
      </c>
      <c r="EQ21" s="1">
        <v>7.53</v>
      </c>
      <c r="ER21" s="1">
        <v>7.94</v>
      </c>
      <c r="ES21" s="1">
        <v>8.3800000000000008</v>
      </c>
      <c r="ET21" s="1">
        <v>8.85</v>
      </c>
      <c r="EU21" s="1">
        <v>9.34</v>
      </c>
      <c r="EV21" s="10">
        <v>0</v>
      </c>
      <c r="EW21" s="10">
        <v>0</v>
      </c>
      <c r="EX21" s="10">
        <v>0</v>
      </c>
      <c r="EY21" s="10">
        <v>0</v>
      </c>
      <c r="EZ21" s="1">
        <v>0</v>
      </c>
      <c r="FA21" s="10">
        <v>0</v>
      </c>
      <c r="FB21" s="10">
        <v>0</v>
      </c>
      <c r="FC21" s="1">
        <v>0</v>
      </c>
      <c r="FD21" s="1">
        <v>0</v>
      </c>
      <c r="FE21" s="1">
        <v>3.75</v>
      </c>
      <c r="FF21" s="1">
        <v>3.84</v>
      </c>
      <c r="FG21" s="1">
        <v>3.93</v>
      </c>
      <c r="FH21" s="1">
        <v>4.01</v>
      </c>
      <c r="FI21" s="1">
        <v>4.0999999999999996</v>
      </c>
      <c r="FJ21" s="1">
        <v>4.1900000000000004</v>
      </c>
      <c r="FK21" s="1">
        <v>4.32</v>
      </c>
      <c r="FL21" s="1">
        <v>4.45</v>
      </c>
      <c r="FM21" s="1">
        <v>4.57</v>
      </c>
      <c r="FN21" s="1">
        <v>4.7</v>
      </c>
      <c r="FO21" s="1">
        <v>4.83</v>
      </c>
      <c r="FP21" s="1">
        <v>5.0199999999999996</v>
      </c>
      <c r="FQ21" s="1">
        <v>5.21</v>
      </c>
      <c r="FR21" s="1">
        <v>5.4</v>
      </c>
      <c r="FS21" s="1">
        <v>5.59</v>
      </c>
      <c r="FT21" s="1">
        <v>5.79</v>
      </c>
      <c r="FU21" s="9">
        <v>1.0940000000000001</v>
      </c>
      <c r="FV21">
        <v>1.127</v>
      </c>
      <c r="FW21" s="1">
        <v>0</v>
      </c>
      <c r="FX21" s="1">
        <v>0</v>
      </c>
      <c r="FY21" s="1">
        <v>0</v>
      </c>
      <c r="FZ21" s="9">
        <v>1.25</v>
      </c>
      <c r="GA21">
        <v>1.284</v>
      </c>
      <c r="GB21" s="1">
        <v>0</v>
      </c>
      <c r="GC21" s="9">
        <v>1.363</v>
      </c>
      <c r="GD21" s="1">
        <v>0</v>
      </c>
      <c r="GE21" s="9">
        <v>1.458</v>
      </c>
      <c r="GF21" s="9">
        <v>1.512</v>
      </c>
      <c r="GG21" s="1">
        <v>0</v>
      </c>
      <c r="GH21" s="1">
        <v>0</v>
      </c>
      <c r="GI21" s="9">
        <v>1.7010000000000001</v>
      </c>
      <c r="GJ21" s="9">
        <v>1.7709999999999999</v>
      </c>
      <c r="GK21">
        <v>1.843</v>
      </c>
      <c r="GL21" s="9">
        <v>1.917</v>
      </c>
      <c r="GM21" s="1">
        <v>0</v>
      </c>
      <c r="GN21" s="1">
        <v>0</v>
      </c>
      <c r="GO21" s="9">
        <v>2.1349999999999998</v>
      </c>
      <c r="GP21">
        <v>2.2269999999999999</v>
      </c>
      <c r="GQ21" s="1">
        <v>0</v>
      </c>
      <c r="GR21" s="1">
        <v>0</v>
      </c>
      <c r="GS21" s="1">
        <v>0</v>
      </c>
      <c r="GT21" s="10">
        <v>0</v>
      </c>
      <c r="GU21" s="1">
        <v>0</v>
      </c>
      <c r="GV21" s="1">
        <v>0</v>
      </c>
      <c r="GW21" s="1">
        <v>0</v>
      </c>
      <c r="GX21" s="1">
        <v>0</v>
      </c>
      <c r="GY21" s="10">
        <v>0</v>
      </c>
      <c r="GZ21" s="1">
        <v>1.35</v>
      </c>
      <c r="HA21" s="1">
        <v>1.51</v>
      </c>
      <c r="HB21" s="1">
        <v>1.68</v>
      </c>
      <c r="HC21" s="1">
        <v>1.87</v>
      </c>
      <c r="HD21" s="1">
        <v>2.08</v>
      </c>
      <c r="HE21" s="1">
        <v>2.31</v>
      </c>
      <c r="HF21" s="1">
        <v>2.57</v>
      </c>
      <c r="HG21" s="1">
        <v>2.85</v>
      </c>
      <c r="HH21" s="1">
        <v>3.16</v>
      </c>
      <c r="HI21" s="1">
        <v>3.5</v>
      </c>
      <c r="HJ21" s="1">
        <v>3.88</v>
      </c>
      <c r="HK21" s="1">
        <v>4.3</v>
      </c>
      <c r="HL21" s="1">
        <v>4.7699999999999996</v>
      </c>
      <c r="HM21" s="1">
        <v>5.3</v>
      </c>
      <c r="HN21" s="1">
        <v>5.88</v>
      </c>
      <c r="HO21" s="1">
        <v>6.52</v>
      </c>
      <c r="HP21" s="1">
        <v>47.93</v>
      </c>
      <c r="HQ21">
        <v>35.11</v>
      </c>
      <c r="HR21" s="1">
        <v>28.88</v>
      </c>
      <c r="HS21" s="1">
        <v>25.3</v>
      </c>
      <c r="HT21" s="1">
        <v>23.1</v>
      </c>
      <c r="HU21" s="1">
        <v>20.66</v>
      </c>
      <c r="HV21" s="1">
        <v>22.9</v>
      </c>
      <c r="HW21" s="1">
        <v>102.5</v>
      </c>
      <c r="HX21" s="1">
        <v>67.86</v>
      </c>
      <c r="HY21" s="1">
        <v>51.4</v>
      </c>
      <c r="HZ21" s="1">
        <v>41</v>
      </c>
      <c r="IA21" s="1">
        <v>34.61</v>
      </c>
      <c r="IB21" s="1">
        <v>30.72</v>
      </c>
      <c r="IC21" s="1">
        <v>699.4</v>
      </c>
      <c r="ID21" s="1">
        <v>586.4</v>
      </c>
      <c r="IE21" s="1">
        <v>498.5</v>
      </c>
      <c r="IF21" s="1">
        <v>419.5</v>
      </c>
      <c r="IG21" s="1">
        <v>358.6</v>
      </c>
      <c r="IH21" s="1">
        <v>283.2</v>
      </c>
      <c r="II21" s="1">
        <v>0</v>
      </c>
      <c r="IJ21" s="1">
        <v>65.53</v>
      </c>
      <c r="IK21" s="1">
        <v>57.45</v>
      </c>
      <c r="IL21" s="1">
        <v>0</v>
      </c>
      <c r="IM21" s="1">
        <v>0</v>
      </c>
      <c r="IN21" s="1">
        <v>0</v>
      </c>
      <c r="IO21" s="1">
        <v>0</v>
      </c>
      <c r="IP21" s="1">
        <v>0</v>
      </c>
      <c r="IQ21" s="1">
        <v>0</v>
      </c>
      <c r="IR21" s="1">
        <v>0</v>
      </c>
      <c r="IS21" s="1">
        <v>0</v>
      </c>
      <c r="IT21" s="1">
        <v>0</v>
      </c>
      <c r="IU21" s="1">
        <v>0</v>
      </c>
      <c r="IV21" s="1">
        <v>0</v>
      </c>
      <c r="IW21" s="1">
        <v>0</v>
      </c>
      <c r="IX21" s="1">
        <v>0</v>
      </c>
      <c r="IY21" s="1">
        <v>0</v>
      </c>
      <c r="IZ21" s="1">
        <v>0</v>
      </c>
      <c r="JA21" s="1">
        <v>26.57</v>
      </c>
      <c r="JB21" s="1">
        <v>78.489999999999995</v>
      </c>
      <c r="JC21" s="1">
        <v>59.74</v>
      </c>
      <c r="JD21" s="1">
        <v>4.93</v>
      </c>
      <c r="JE21" s="1">
        <v>4.99</v>
      </c>
      <c r="JF21" s="1">
        <v>5.05</v>
      </c>
      <c r="JG21" s="1">
        <v>5.1100000000000003</v>
      </c>
      <c r="JH21" s="1">
        <v>5.18</v>
      </c>
      <c r="JI21" s="1">
        <v>5.25</v>
      </c>
      <c r="JJ21" s="1">
        <v>22.76</v>
      </c>
      <c r="JK21" s="1">
        <v>27.09</v>
      </c>
      <c r="JL21" s="1">
        <v>31.36</v>
      </c>
      <c r="JM21" s="1">
        <v>35.590000000000003</v>
      </c>
      <c r="JN21" s="1">
        <v>39.79</v>
      </c>
      <c r="JO21" s="1">
        <v>43.96</v>
      </c>
      <c r="JP21" s="1">
        <v>91.84</v>
      </c>
      <c r="JQ21" s="1">
        <v>74.77</v>
      </c>
      <c r="JR21" s="1">
        <v>63.67</v>
      </c>
      <c r="JS21" s="1">
        <v>55.66</v>
      </c>
      <c r="JT21" s="1">
        <v>49.19</v>
      </c>
      <c r="JU21" s="1">
        <v>44.28</v>
      </c>
      <c r="JV21" s="1">
        <v>40.51</v>
      </c>
      <c r="JW21" s="1">
        <v>91.09</v>
      </c>
      <c r="JX21" s="1">
        <v>74.02</v>
      </c>
      <c r="JY21" s="1">
        <v>62.92</v>
      </c>
      <c r="JZ21" s="1">
        <v>54.91</v>
      </c>
      <c r="KA21" s="1">
        <v>48.44</v>
      </c>
      <c r="KB21" s="1">
        <v>43.53</v>
      </c>
      <c r="KC21" s="1">
        <v>39.76</v>
      </c>
    </row>
    <row r="22" spans="1:289" x14ac:dyDescent="0.15">
      <c r="A22" s="8">
        <v>30</v>
      </c>
      <c r="B22" s="1">
        <v>20.51</v>
      </c>
      <c r="C22" s="1">
        <v>99.43</v>
      </c>
      <c r="D22" s="1">
        <v>89.91</v>
      </c>
      <c r="E22" s="1">
        <v>82.04</v>
      </c>
      <c r="F22" s="1">
        <v>75.42</v>
      </c>
      <c r="G22" s="1">
        <v>69.790000000000006</v>
      </c>
      <c r="H22" s="1">
        <v>64.95</v>
      </c>
      <c r="I22" s="1">
        <v>60.75</v>
      </c>
      <c r="J22" s="1">
        <v>57.07</v>
      </c>
      <c r="K22" s="1">
        <v>53.84</v>
      </c>
      <c r="L22" s="1">
        <v>50.97</v>
      </c>
      <c r="M22" s="1">
        <v>48.42</v>
      </c>
      <c r="N22" s="1">
        <v>45.86</v>
      </c>
      <c r="O22" s="1">
        <v>43.55</v>
      </c>
      <c r="P22" s="1">
        <v>41.45</v>
      </c>
      <c r="Q22" s="1">
        <v>39.54</v>
      </c>
      <c r="R22" s="1">
        <v>37.799999999999997</v>
      </c>
      <c r="S22" s="1">
        <v>36.200000000000003</v>
      </c>
      <c r="T22" s="1">
        <v>34.74</v>
      </c>
      <c r="U22" s="1">
        <v>33.4</v>
      </c>
      <c r="V22" s="1">
        <v>32.159999999999997</v>
      </c>
      <c r="W22" s="1">
        <v>31.03</v>
      </c>
      <c r="X22" s="1">
        <v>29.99</v>
      </c>
      <c r="Y22" s="1">
        <v>29.03</v>
      </c>
      <c r="Z22" s="1">
        <v>28.15</v>
      </c>
      <c r="AA22" s="1">
        <v>27.34</v>
      </c>
      <c r="AB22" s="1">
        <v>26.6</v>
      </c>
      <c r="AC22" s="1">
        <v>25.92</v>
      </c>
      <c r="AD22" s="1">
        <v>25.29</v>
      </c>
      <c r="AE22" s="1">
        <v>24.72</v>
      </c>
      <c r="AF22" s="1">
        <v>24.2</v>
      </c>
      <c r="AG22" s="1">
        <v>23.73</v>
      </c>
      <c r="AH22" s="1">
        <v>23.3</v>
      </c>
      <c r="AI22" s="1">
        <v>22.91</v>
      </c>
      <c r="AJ22" s="1">
        <v>22.55</v>
      </c>
      <c r="AK22" s="1">
        <v>22.24</v>
      </c>
      <c r="AL22" s="1">
        <v>21.95</v>
      </c>
      <c r="AM22" s="1">
        <v>0</v>
      </c>
      <c r="AN22" s="10">
        <v>0</v>
      </c>
      <c r="AO22" s="1">
        <v>0</v>
      </c>
      <c r="AP22" s="10">
        <v>0</v>
      </c>
      <c r="AQ22" s="10">
        <v>0</v>
      </c>
      <c r="AR22" s="10">
        <v>0</v>
      </c>
      <c r="AS22" s="10">
        <v>0</v>
      </c>
      <c r="AT22" s="10">
        <v>0</v>
      </c>
      <c r="AU22" s="10">
        <v>0</v>
      </c>
      <c r="AV22" s="10">
        <v>0</v>
      </c>
      <c r="AW22" s="1">
        <v>63.2</v>
      </c>
      <c r="AX22" s="1">
        <v>55.16</v>
      </c>
      <c r="AY22" s="1">
        <v>48.84</v>
      </c>
      <c r="AZ22" s="1">
        <v>44.09</v>
      </c>
      <c r="BA22" s="1">
        <v>40.479999999999997</v>
      </c>
      <c r="BB22" s="6">
        <v>104.35</v>
      </c>
      <c r="BC22" s="6">
        <v>94.7</v>
      </c>
      <c r="BD22" s="6">
        <v>86.75</v>
      </c>
      <c r="BE22" s="6">
        <v>80.099999999999994</v>
      </c>
      <c r="BF22" s="6">
        <v>74.459999999999994</v>
      </c>
      <c r="BG22" s="6">
        <v>69.650000000000006</v>
      </c>
      <c r="BH22" s="6">
        <v>65.489999999999995</v>
      </c>
      <c r="BI22" s="6">
        <v>61.89</v>
      </c>
      <c r="BJ22" s="6">
        <v>58.74</v>
      </c>
      <c r="BK22" s="6">
        <v>55.98</v>
      </c>
      <c r="BL22" s="6">
        <v>53.55</v>
      </c>
      <c r="BM22" s="6">
        <v>51.12</v>
      </c>
      <c r="BN22" s="6">
        <v>48.96</v>
      </c>
      <c r="BO22" s="6">
        <v>47.02</v>
      </c>
      <c r="BP22" s="6">
        <v>45.3</v>
      </c>
      <c r="BQ22" s="1">
        <v>105.87</v>
      </c>
      <c r="BR22" s="1">
        <v>71.48</v>
      </c>
      <c r="BS22" s="1">
        <v>56.32</v>
      </c>
      <c r="BT22" s="1">
        <v>47.29</v>
      </c>
      <c r="BU22" s="1">
        <v>42.67</v>
      </c>
      <c r="BV22" s="1">
        <v>40.47</v>
      </c>
      <c r="BW22" s="1">
        <v>104.83</v>
      </c>
      <c r="BX22" s="1">
        <v>70.84</v>
      </c>
      <c r="BY22" s="1">
        <v>55.04</v>
      </c>
      <c r="BZ22" s="1">
        <v>45.51</v>
      </c>
      <c r="CA22" s="6">
        <v>106.74</v>
      </c>
      <c r="CB22" s="6">
        <v>97.49</v>
      </c>
      <c r="CC22" s="6">
        <v>89.88</v>
      </c>
      <c r="CD22" s="6">
        <v>83.52</v>
      </c>
      <c r="CE22" s="6">
        <v>78.150000000000006</v>
      </c>
      <c r="CF22" s="6">
        <v>73.56</v>
      </c>
      <c r="CG22" s="6">
        <v>69.739999999999995</v>
      </c>
      <c r="CH22" s="1">
        <v>66.44</v>
      </c>
      <c r="CI22" s="1">
        <v>63.6</v>
      </c>
      <c r="CJ22" s="1">
        <v>61.1</v>
      </c>
      <c r="CK22" s="1">
        <v>58.91</v>
      </c>
      <c r="CL22" s="1">
        <v>56.88</v>
      </c>
      <c r="CM22" s="1">
        <v>55.1</v>
      </c>
      <c r="CN22" s="1">
        <v>53.52</v>
      </c>
      <c r="CO22" s="1">
        <v>52.12</v>
      </c>
      <c r="CP22" s="1">
        <v>99.76</v>
      </c>
      <c r="CQ22" s="5">
        <v>90.22</v>
      </c>
      <c r="CR22" s="5">
        <v>82.32</v>
      </c>
      <c r="CS22" s="1">
        <v>75.67</v>
      </c>
      <c r="CT22" s="1">
        <v>70.010000000000005</v>
      </c>
      <c r="CU22" s="1">
        <v>65.14</v>
      </c>
      <c r="CV22" s="1">
        <v>60.9</v>
      </c>
      <c r="CW22" s="1">
        <v>57.2</v>
      </c>
      <c r="CX22" s="1">
        <v>53.92</v>
      </c>
      <c r="CY22" s="1">
        <v>51.02</v>
      </c>
      <c r="CZ22" s="1">
        <v>48.42</v>
      </c>
      <c r="DA22" s="1">
        <v>45.82</v>
      </c>
      <c r="DB22" s="1">
        <v>43.46</v>
      </c>
      <c r="DC22" s="1">
        <v>41.3</v>
      </c>
      <c r="DD22" s="1">
        <v>39.33</v>
      </c>
      <c r="DE22">
        <v>75.069999999999993</v>
      </c>
      <c r="DF22">
        <v>71.25</v>
      </c>
      <c r="DG22">
        <v>67.989999999999995</v>
      </c>
      <c r="DH22">
        <v>65.209999999999994</v>
      </c>
      <c r="DI22">
        <v>62.84</v>
      </c>
      <c r="DJ22" s="1">
        <v>60.83</v>
      </c>
      <c r="DK22" s="1">
        <v>58.87</v>
      </c>
      <c r="DL22" s="1">
        <v>57.21</v>
      </c>
      <c r="DM22" s="1">
        <v>55.82</v>
      </c>
      <c r="DN22" s="1">
        <v>54.68</v>
      </c>
      <c r="DO22" s="1">
        <v>53.77</v>
      </c>
      <c r="DP22" s="1">
        <v>8</v>
      </c>
      <c r="DQ22" s="1">
        <v>8</v>
      </c>
      <c r="DR22" s="1">
        <v>8</v>
      </c>
      <c r="DS22" s="1">
        <v>8</v>
      </c>
      <c r="DT22" s="1">
        <v>8</v>
      </c>
      <c r="DU22" s="1">
        <v>2.91</v>
      </c>
      <c r="DV22" s="1">
        <v>3.03</v>
      </c>
      <c r="DW22" s="1">
        <v>3.15</v>
      </c>
      <c r="DX22" s="1">
        <v>3.27</v>
      </c>
      <c r="DY22" s="1">
        <v>3.39</v>
      </c>
      <c r="DZ22" s="1">
        <v>3.51</v>
      </c>
      <c r="EA22" s="1">
        <v>3.68</v>
      </c>
      <c r="EB22" s="1">
        <v>3.85</v>
      </c>
      <c r="EC22" s="1">
        <v>4.03</v>
      </c>
      <c r="ED22" s="1">
        <v>4.2</v>
      </c>
      <c r="EE22" s="1">
        <v>4.37</v>
      </c>
      <c r="EF22" s="1">
        <v>4.6100000000000003</v>
      </c>
      <c r="EG22" s="1">
        <v>4.8499999999999996</v>
      </c>
      <c r="EH22" s="1">
        <v>5.09</v>
      </c>
      <c r="EI22" s="1">
        <v>5.33</v>
      </c>
      <c r="EJ22" s="1">
        <v>5.57</v>
      </c>
      <c r="EK22" s="1">
        <v>5.87</v>
      </c>
      <c r="EL22" s="1">
        <v>6.18</v>
      </c>
      <c r="EM22" s="1">
        <v>6.52</v>
      </c>
      <c r="EN22" s="1">
        <v>6.88</v>
      </c>
      <c r="EO22" s="1">
        <v>7.27</v>
      </c>
      <c r="EP22" s="1">
        <v>7.68</v>
      </c>
      <c r="EQ22" s="1">
        <v>8.1199999999999992</v>
      </c>
      <c r="ER22" s="1">
        <v>8.58</v>
      </c>
      <c r="ES22" s="1">
        <v>9.07</v>
      </c>
      <c r="ET22" s="1">
        <v>9.58</v>
      </c>
      <c r="EU22" s="10">
        <v>0</v>
      </c>
      <c r="EV22" s="10">
        <v>0</v>
      </c>
      <c r="EW22" s="10">
        <v>0</v>
      </c>
      <c r="EX22" s="10">
        <v>0</v>
      </c>
      <c r="EY22" s="1">
        <v>0</v>
      </c>
      <c r="EZ22" s="10">
        <v>0</v>
      </c>
      <c r="FA22" s="10">
        <v>0</v>
      </c>
      <c r="FB22" s="10">
        <v>0</v>
      </c>
      <c r="FC22" s="10">
        <v>0</v>
      </c>
      <c r="FD22" s="10">
        <v>0</v>
      </c>
      <c r="FE22" s="1">
        <v>3.9</v>
      </c>
      <c r="FF22" s="1">
        <v>4</v>
      </c>
      <c r="FG22" s="1">
        <v>4.0999999999999996</v>
      </c>
      <c r="FH22" s="1">
        <v>4.1900000000000004</v>
      </c>
      <c r="FI22" s="1">
        <v>4.29</v>
      </c>
      <c r="FJ22" s="1">
        <v>4.3899999999999997</v>
      </c>
      <c r="FK22" s="1">
        <v>4.54</v>
      </c>
      <c r="FL22" s="1">
        <v>4.68</v>
      </c>
      <c r="FM22" s="1">
        <v>4.83</v>
      </c>
      <c r="FN22" s="1">
        <v>4.97</v>
      </c>
      <c r="FO22" s="1">
        <v>5.12</v>
      </c>
      <c r="FP22" s="1">
        <v>5.34</v>
      </c>
      <c r="FQ22" s="1">
        <v>5.56</v>
      </c>
      <c r="FR22" s="1">
        <v>5.77</v>
      </c>
      <c r="FS22" s="1">
        <v>5.99</v>
      </c>
      <c r="FT22" s="1">
        <v>6.21</v>
      </c>
      <c r="FU22" s="9">
        <v>1.1459999999999999</v>
      </c>
      <c r="FV22" s="1">
        <v>0</v>
      </c>
      <c r="FW22" s="1">
        <v>0</v>
      </c>
      <c r="FX22" s="1">
        <v>0</v>
      </c>
      <c r="FY22" s="1">
        <v>0</v>
      </c>
      <c r="FZ22" s="9">
        <v>1.3540000000000001</v>
      </c>
      <c r="GA22" s="1">
        <v>0</v>
      </c>
      <c r="GB22" s="1">
        <v>0</v>
      </c>
      <c r="GC22" s="9">
        <v>1.4710000000000001</v>
      </c>
      <c r="GD22" s="1">
        <v>0</v>
      </c>
      <c r="GE22" s="9">
        <v>1.5629999999999999</v>
      </c>
      <c r="GF22" s="9">
        <v>1.6160000000000001</v>
      </c>
      <c r="GG22" s="1">
        <v>0</v>
      </c>
      <c r="GH22" s="1">
        <v>0</v>
      </c>
      <c r="GI22" s="9">
        <v>1.8029999999999999</v>
      </c>
      <c r="GJ22" s="9">
        <v>1.875</v>
      </c>
      <c r="GK22" s="1">
        <v>0</v>
      </c>
      <c r="GL22" s="9">
        <v>2.032</v>
      </c>
      <c r="GM22" s="1">
        <v>0</v>
      </c>
      <c r="GN22" s="1">
        <v>0</v>
      </c>
      <c r="GO22" s="9">
        <v>2.2919999999999998</v>
      </c>
      <c r="GP22" s="1">
        <v>0</v>
      </c>
      <c r="GQ22" s="1">
        <v>0</v>
      </c>
      <c r="GR22" s="1">
        <v>0</v>
      </c>
      <c r="GS22" s="1">
        <v>0</v>
      </c>
      <c r="GT22" s="1">
        <v>0</v>
      </c>
      <c r="GU22" s="1">
        <v>0</v>
      </c>
      <c r="GV22" s="1">
        <v>0</v>
      </c>
      <c r="GW22" s="1">
        <v>0</v>
      </c>
      <c r="GX22" s="1">
        <v>0</v>
      </c>
      <c r="GY22" s="10">
        <v>0</v>
      </c>
      <c r="GZ22" s="1">
        <v>1.44</v>
      </c>
      <c r="HA22" s="1">
        <v>1.61</v>
      </c>
      <c r="HB22" s="1">
        <v>1.81</v>
      </c>
      <c r="HC22" s="1">
        <v>2.02</v>
      </c>
      <c r="HD22" s="1">
        <v>2.25</v>
      </c>
      <c r="HE22" s="1">
        <v>2.5099999999999998</v>
      </c>
      <c r="HF22" s="1">
        <v>2.79</v>
      </c>
      <c r="HG22" s="1">
        <v>3.1</v>
      </c>
      <c r="HH22" s="1">
        <v>3.45</v>
      </c>
      <c r="HI22" s="1">
        <v>3.84</v>
      </c>
      <c r="HJ22" s="1">
        <v>4.26</v>
      </c>
      <c r="HK22" s="1">
        <v>4.74</v>
      </c>
      <c r="HL22" s="1">
        <v>5.27</v>
      </c>
      <c r="HM22" s="1">
        <v>5.86</v>
      </c>
      <c r="HN22" s="1">
        <v>6.52</v>
      </c>
      <c r="HO22" s="1">
        <v>7.24</v>
      </c>
      <c r="HP22" s="1">
        <v>49.09</v>
      </c>
      <c r="HQ22">
        <v>35.97</v>
      </c>
      <c r="HR22" s="1">
        <v>29.6</v>
      </c>
      <c r="HS22" s="1">
        <v>25.96</v>
      </c>
      <c r="HT22" s="1">
        <v>23.73</v>
      </c>
      <c r="HU22" s="1">
        <v>21.43</v>
      </c>
      <c r="HV22" s="1">
        <v>23.73</v>
      </c>
      <c r="HW22" s="1">
        <v>102.61</v>
      </c>
      <c r="HX22" s="1">
        <v>68.010000000000005</v>
      </c>
      <c r="HY22" s="1">
        <v>51.61</v>
      </c>
      <c r="HZ22" s="1">
        <v>41.3</v>
      </c>
      <c r="IA22" s="1">
        <v>35.04</v>
      </c>
      <c r="IB22" s="1">
        <v>31.29</v>
      </c>
      <c r="IC22" s="1">
        <v>699.4</v>
      </c>
      <c r="ID22" s="1">
        <v>586.4</v>
      </c>
      <c r="IE22" s="1">
        <v>498.5</v>
      </c>
      <c r="IF22" s="1">
        <v>419.5</v>
      </c>
      <c r="IG22" s="1">
        <v>358.6</v>
      </c>
      <c r="IH22" s="1">
        <v>283.2</v>
      </c>
      <c r="II22" s="1">
        <v>0</v>
      </c>
      <c r="IJ22" s="1">
        <v>65.7</v>
      </c>
      <c r="IK22" s="1">
        <v>57.66</v>
      </c>
      <c r="IL22" s="1">
        <v>0</v>
      </c>
      <c r="IM22" s="1">
        <v>0</v>
      </c>
      <c r="IN22" s="1">
        <v>0</v>
      </c>
      <c r="IO22" s="1">
        <v>0</v>
      </c>
      <c r="IP22" s="1">
        <v>0</v>
      </c>
      <c r="IQ22" s="1">
        <v>0</v>
      </c>
      <c r="IR22" s="1">
        <v>0</v>
      </c>
      <c r="IS22" s="1">
        <v>0</v>
      </c>
      <c r="IT22" s="1">
        <v>0</v>
      </c>
      <c r="IU22" s="1">
        <v>0</v>
      </c>
      <c r="IV22" s="1">
        <v>0</v>
      </c>
      <c r="IW22" s="1">
        <v>0</v>
      </c>
      <c r="IX22" s="1">
        <v>0</v>
      </c>
      <c r="IY22" s="1">
        <v>0</v>
      </c>
      <c r="IZ22" s="1">
        <v>0</v>
      </c>
      <c r="JA22" s="1">
        <v>26.77</v>
      </c>
      <c r="JB22" s="1">
        <v>78.59</v>
      </c>
      <c r="JC22" s="1">
        <v>59.84</v>
      </c>
      <c r="JD22" s="1">
        <v>5.05</v>
      </c>
      <c r="JE22" s="1">
        <v>5.1100000000000003</v>
      </c>
      <c r="JF22" s="1">
        <v>5.17</v>
      </c>
      <c r="JG22" s="1">
        <v>5.24</v>
      </c>
      <c r="JH22" s="1">
        <v>5.32</v>
      </c>
      <c r="JI22" s="1">
        <v>5.4</v>
      </c>
      <c r="JJ22" s="1">
        <v>23.28</v>
      </c>
      <c r="JK22" s="1">
        <v>27.73</v>
      </c>
      <c r="JL22" s="1">
        <v>32.130000000000003</v>
      </c>
      <c r="JM22" s="1">
        <v>36.5</v>
      </c>
      <c r="JN22" s="1">
        <v>40.85</v>
      </c>
      <c r="JO22" s="1">
        <v>45.18</v>
      </c>
      <c r="JP22" s="1">
        <v>91.94</v>
      </c>
      <c r="JQ22" s="1">
        <v>74.89</v>
      </c>
      <c r="JR22" s="1">
        <v>63.83</v>
      </c>
      <c r="JS22" s="1">
        <v>55.85</v>
      </c>
      <c r="JT22" s="1">
        <v>49.43</v>
      </c>
      <c r="JU22" s="1">
        <v>44.58</v>
      </c>
      <c r="JV22" s="1">
        <v>40.869999999999997</v>
      </c>
      <c r="JW22" s="1">
        <v>91.19</v>
      </c>
      <c r="JX22" s="1">
        <v>74.14</v>
      </c>
      <c r="JY22" s="1">
        <v>63.08</v>
      </c>
      <c r="JZ22" s="1">
        <v>55.1</v>
      </c>
      <c r="KA22" s="1">
        <v>48.68</v>
      </c>
      <c r="KB22" s="1">
        <v>43.83</v>
      </c>
      <c r="KC22" s="1">
        <v>40.119999999999997</v>
      </c>
    </row>
    <row r="23" spans="1:289" x14ac:dyDescent="0.15">
      <c r="A23" s="8">
        <v>31</v>
      </c>
      <c r="B23" s="1">
        <v>21.22</v>
      </c>
      <c r="C23" s="1">
        <v>99.49</v>
      </c>
      <c r="D23" s="1">
        <v>89.98</v>
      </c>
      <c r="E23" s="1">
        <v>82.11</v>
      </c>
      <c r="F23" s="1">
        <v>75.489999999999995</v>
      </c>
      <c r="G23" s="1">
        <v>69.87</v>
      </c>
      <c r="H23" s="1">
        <v>65.03</v>
      </c>
      <c r="I23" s="1">
        <v>60.84</v>
      </c>
      <c r="J23" s="1">
        <v>57.17</v>
      </c>
      <c r="K23" s="1">
        <v>53.94</v>
      </c>
      <c r="L23" s="1">
        <v>51.08</v>
      </c>
      <c r="M23" s="1">
        <v>48.54</v>
      </c>
      <c r="N23" s="1">
        <v>45.99</v>
      </c>
      <c r="O23" s="1">
        <v>43.69</v>
      </c>
      <c r="P23" s="1">
        <v>41.6</v>
      </c>
      <c r="Q23" s="1">
        <v>39.700000000000003</v>
      </c>
      <c r="R23" s="1">
        <v>37.97</v>
      </c>
      <c r="S23" s="1">
        <v>36.39</v>
      </c>
      <c r="T23" s="1">
        <v>34.94</v>
      </c>
      <c r="U23" s="1">
        <v>33.61</v>
      </c>
      <c r="V23" s="1">
        <v>32.39</v>
      </c>
      <c r="W23" s="1">
        <v>31.28</v>
      </c>
      <c r="X23" s="1">
        <v>30.25</v>
      </c>
      <c r="Y23" s="1">
        <v>29.31</v>
      </c>
      <c r="Z23" s="1">
        <v>28.45</v>
      </c>
      <c r="AA23" s="1">
        <v>27.66</v>
      </c>
      <c r="AB23" s="1">
        <v>26.93</v>
      </c>
      <c r="AC23" s="1">
        <v>26.27</v>
      </c>
      <c r="AD23" s="1">
        <v>25.66</v>
      </c>
      <c r="AE23" s="1">
        <v>25.11</v>
      </c>
      <c r="AF23" s="1">
        <v>24.6</v>
      </c>
      <c r="AG23" s="1">
        <v>24.15</v>
      </c>
      <c r="AH23" s="1">
        <v>23.73</v>
      </c>
      <c r="AI23" s="1">
        <v>23.36</v>
      </c>
      <c r="AJ23" s="1">
        <v>23.02</v>
      </c>
      <c r="AK23" s="1">
        <v>22.73</v>
      </c>
      <c r="AL23" s="10">
        <v>0</v>
      </c>
      <c r="AM23" s="10">
        <v>0</v>
      </c>
      <c r="AN23" s="1">
        <v>0</v>
      </c>
      <c r="AO23" s="10">
        <v>0</v>
      </c>
      <c r="AP23" s="10">
        <v>0</v>
      </c>
      <c r="AQ23" s="10">
        <v>0</v>
      </c>
      <c r="AR23" s="10">
        <v>0</v>
      </c>
      <c r="AS23" s="10">
        <v>0</v>
      </c>
      <c r="AT23" s="10">
        <v>0</v>
      </c>
      <c r="AU23" s="10">
        <v>0</v>
      </c>
      <c r="AV23" s="10">
        <v>0</v>
      </c>
      <c r="AW23" s="1">
        <v>63.38</v>
      </c>
      <c r="AX23" s="1">
        <v>55.4</v>
      </c>
      <c r="AY23" s="1">
        <v>49.13</v>
      </c>
      <c r="AZ23" s="1">
        <v>44.46</v>
      </c>
      <c r="BA23" s="1">
        <v>40.92</v>
      </c>
      <c r="BB23" s="6">
        <v>104.53</v>
      </c>
      <c r="BC23" s="6">
        <v>94.9</v>
      </c>
      <c r="BD23" s="6">
        <v>86.97</v>
      </c>
      <c r="BE23" s="6">
        <v>80.34</v>
      </c>
      <c r="BF23" s="6">
        <v>74.73</v>
      </c>
      <c r="BG23" s="6">
        <v>69.94</v>
      </c>
      <c r="BH23" s="6">
        <v>65.81</v>
      </c>
      <c r="BI23" s="6">
        <v>62.24</v>
      </c>
      <c r="BJ23" s="6">
        <v>59.12</v>
      </c>
      <c r="BK23" s="6">
        <v>56.39</v>
      </c>
      <c r="BL23" s="6">
        <v>54</v>
      </c>
      <c r="BM23" s="6">
        <v>51.61</v>
      </c>
      <c r="BN23" s="6">
        <v>49.49</v>
      </c>
      <c r="BO23" s="6">
        <v>47.6</v>
      </c>
      <c r="BP23" s="6">
        <v>45.93</v>
      </c>
      <c r="BQ23" s="1">
        <v>106.25</v>
      </c>
      <c r="BR23" s="1">
        <v>72.349999999999994</v>
      </c>
      <c r="BS23" s="1">
        <v>57.03</v>
      </c>
      <c r="BT23" s="1">
        <v>48.28</v>
      </c>
      <c r="BU23" s="1">
        <v>43.91</v>
      </c>
      <c r="BV23" s="1">
        <v>41.86</v>
      </c>
      <c r="BW23" s="1">
        <v>105.05</v>
      </c>
      <c r="BX23" s="1">
        <v>71.150000000000006</v>
      </c>
      <c r="BY23" s="1">
        <v>55.49</v>
      </c>
      <c r="BZ23" s="1">
        <v>46.15</v>
      </c>
      <c r="CA23" s="6">
        <v>106.96</v>
      </c>
      <c r="CB23" s="6">
        <v>97.73</v>
      </c>
      <c r="CC23" s="6">
        <v>90.14</v>
      </c>
      <c r="CD23" s="6">
        <v>83.84</v>
      </c>
      <c r="CE23" s="6">
        <v>78.489999999999995</v>
      </c>
      <c r="CF23" s="6">
        <v>73.930000000000007</v>
      </c>
      <c r="CG23" s="6">
        <v>70.16</v>
      </c>
      <c r="CH23" s="1">
        <v>66.91</v>
      </c>
      <c r="CI23" s="1">
        <v>64.12</v>
      </c>
      <c r="CJ23" s="1">
        <v>61.67</v>
      </c>
      <c r="CK23" s="1">
        <v>59.54</v>
      </c>
      <c r="CL23" s="1">
        <v>57.59</v>
      </c>
      <c r="CM23" s="1">
        <v>55.87</v>
      </c>
      <c r="CN23" s="1">
        <v>54.35</v>
      </c>
      <c r="CO23" s="1">
        <v>53.02</v>
      </c>
      <c r="CP23" s="1">
        <v>99.81</v>
      </c>
      <c r="CQ23" s="5">
        <v>90.27</v>
      </c>
      <c r="CR23" s="5">
        <v>82.37</v>
      </c>
      <c r="CS23" s="1">
        <v>75.72</v>
      </c>
      <c r="CT23" s="1">
        <v>70.069999999999993</v>
      </c>
      <c r="CU23" s="1">
        <v>65.2</v>
      </c>
      <c r="CV23" s="1">
        <v>60.97</v>
      </c>
      <c r="CW23" s="1">
        <v>57.26</v>
      </c>
      <c r="CX23" s="1">
        <v>53.99</v>
      </c>
      <c r="CY23" s="1">
        <v>51.09</v>
      </c>
      <c r="CZ23" s="1">
        <v>48.5</v>
      </c>
      <c r="DA23" s="1">
        <v>45.9</v>
      </c>
      <c r="DB23" s="1">
        <v>43.54</v>
      </c>
      <c r="DC23" s="1">
        <v>41.39</v>
      </c>
      <c r="DD23" s="1">
        <v>39.42</v>
      </c>
      <c r="DE23">
        <v>75.930000000000007</v>
      </c>
      <c r="DF23">
        <v>72.17</v>
      </c>
      <c r="DG23">
        <v>68.97</v>
      </c>
      <c r="DH23">
        <v>66.27</v>
      </c>
      <c r="DI23">
        <v>63.98</v>
      </c>
      <c r="DJ23" s="1">
        <v>62.06</v>
      </c>
      <c r="DK23" s="1">
        <v>60.2</v>
      </c>
      <c r="DL23" s="1">
        <v>58.64</v>
      </c>
      <c r="DM23" s="1">
        <v>57.36</v>
      </c>
      <c r="DN23" s="1">
        <v>56.33</v>
      </c>
      <c r="DO23" s="1">
        <v>55.53</v>
      </c>
      <c r="DP23" s="1">
        <v>8</v>
      </c>
      <c r="DQ23" s="1">
        <v>8</v>
      </c>
      <c r="DR23" s="1">
        <v>8</v>
      </c>
      <c r="DS23" s="1">
        <v>8</v>
      </c>
      <c r="DT23" s="1">
        <v>8.1</v>
      </c>
      <c r="DU23" s="1">
        <v>2.98</v>
      </c>
      <c r="DV23" s="1">
        <v>3.11</v>
      </c>
      <c r="DW23" s="1">
        <v>3.24</v>
      </c>
      <c r="DX23" s="1">
        <v>3.38</v>
      </c>
      <c r="DY23" s="1">
        <v>3.51</v>
      </c>
      <c r="DZ23" s="1">
        <v>3.64</v>
      </c>
      <c r="EA23" s="1">
        <v>3.83</v>
      </c>
      <c r="EB23" s="1">
        <v>4.0199999999999996</v>
      </c>
      <c r="EC23" s="1">
        <v>4.22</v>
      </c>
      <c r="ED23" s="1">
        <v>4.41</v>
      </c>
      <c r="EE23" s="1">
        <v>4.5999999999999996</v>
      </c>
      <c r="EF23" s="1">
        <v>4.87</v>
      </c>
      <c r="EG23" s="1">
        <v>5.14</v>
      </c>
      <c r="EH23" s="1">
        <v>5.4</v>
      </c>
      <c r="EI23" s="1">
        <v>5.67</v>
      </c>
      <c r="EJ23" s="1">
        <v>5.94</v>
      </c>
      <c r="EK23" s="1">
        <v>6.27</v>
      </c>
      <c r="EL23" s="1">
        <v>6.62</v>
      </c>
      <c r="EM23" s="1">
        <v>7</v>
      </c>
      <c r="EN23" s="1">
        <v>7.41</v>
      </c>
      <c r="EO23" s="1">
        <v>7.84</v>
      </c>
      <c r="EP23" s="1">
        <v>8.3000000000000007</v>
      </c>
      <c r="EQ23" s="1">
        <v>8.7799999999999994</v>
      </c>
      <c r="ER23" s="1">
        <v>9.2899999999999991</v>
      </c>
      <c r="ES23" s="1">
        <v>9.82</v>
      </c>
      <c r="ET23" s="10">
        <v>0</v>
      </c>
      <c r="EU23" s="10">
        <v>0</v>
      </c>
      <c r="EV23" s="10">
        <v>0</v>
      </c>
      <c r="EW23" s="10">
        <v>0</v>
      </c>
      <c r="EX23" s="1">
        <v>0</v>
      </c>
      <c r="EY23" s="10">
        <v>0</v>
      </c>
      <c r="EZ23" s="10">
        <v>0</v>
      </c>
      <c r="FA23" s="10">
        <v>0</v>
      </c>
      <c r="FB23" s="10">
        <v>0</v>
      </c>
      <c r="FC23" s="10">
        <v>0</v>
      </c>
      <c r="FD23" s="10">
        <v>0</v>
      </c>
      <c r="FE23" s="1">
        <v>4.0599999999999996</v>
      </c>
      <c r="FF23" s="1">
        <v>4.17</v>
      </c>
      <c r="FG23" s="1">
        <v>4.28</v>
      </c>
      <c r="FH23" s="1">
        <v>4.4000000000000004</v>
      </c>
      <c r="FI23" s="1">
        <v>4.51</v>
      </c>
      <c r="FJ23" s="1">
        <v>4.62</v>
      </c>
      <c r="FK23" s="1">
        <v>4.79</v>
      </c>
      <c r="FL23" s="1">
        <v>4.95</v>
      </c>
      <c r="FM23" s="1">
        <v>5.12</v>
      </c>
      <c r="FN23" s="1">
        <v>5.28</v>
      </c>
      <c r="FO23" s="1">
        <v>5.45</v>
      </c>
      <c r="FP23" s="1">
        <v>5.7</v>
      </c>
      <c r="FQ23" s="1">
        <v>5.94</v>
      </c>
      <c r="FR23" s="1">
        <v>6.19</v>
      </c>
      <c r="FS23" s="1">
        <v>6.43</v>
      </c>
      <c r="FT23" s="1">
        <v>6.68</v>
      </c>
      <c r="FU23" s="9">
        <v>1.198</v>
      </c>
      <c r="FV23" s="1">
        <v>0</v>
      </c>
      <c r="FW23" s="1">
        <v>0</v>
      </c>
      <c r="FX23" s="1">
        <v>0</v>
      </c>
      <c r="FY23">
        <v>1.3620000000000001</v>
      </c>
      <c r="FZ23" s="9">
        <v>1.4059999999999999</v>
      </c>
      <c r="GA23" s="1">
        <v>0</v>
      </c>
      <c r="GB23" s="1">
        <v>0</v>
      </c>
      <c r="GC23" s="9">
        <v>1.5529999999999999</v>
      </c>
      <c r="GD23">
        <v>1.6080000000000001</v>
      </c>
      <c r="GE23" s="9">
        <v>1.667</v>
      </c>
      <c r="GF23" s="9">
        <v>1.73</v>
      </c>
      <c r="GG23" s="1">
        <v>0</v>
      </c>
      <c r="GH23" s="1">
        <v>0</v>
      </c>
      <c r="GI23" s="9">
        <v>1.948</v>
      </c>
      <c r="GJ23" s="9">
        <v>2.0310000000000001</v>
      </c>
      <c r="GK23" s="1">
        <v>0</v>
      </c>
      <c r="GL23" s="9">
        <v>2.2090000000000001</v>
      </c>
      <c r="GM23" s="1">
        <v>0</v>
      </c>
      <c r="GN23">
        <v>2.4060000000000001</v>
      </c>
      <c r="GO23" s="1">
        <v>0</v>
      </c>
      <c r="GP23" s="1">
        <v>0</v>
      </c>
      <c r="GQ23" s="1">
        <v>0</v>
      </c>
      <c r="GR23" s="1">
        <v>0</v>
      </c>
      <c r="GS23" s="1">
        <v>0</v>
      </c>
      <c r="GT23" s="1">
        <v>0</v>
      </c>
      <c r="GU23" s="1">
        <v>0</v>
      </c>
      <c r="GV23" s="1">
        <v>0</v>
      </c>
      <c r="GW23" s="1">
        <v>0</v>
      </c>
      <c r="GX23" s="1">
        <v>0</v>
      </c>
      <c r="GY23" s="1">
        <v>0</v>
      </c>
      <c r="GZ23" s="1">
        <v>1.54</v>
      </c>
      <c r="HA23" s="1">
        <v>1.73</v>
      </c>
      <c r="HB23" s="1">
        <v>1.94</v>
      </c>
      <c r="HC23" s="1">
        <v>2.1800000000000002</v>
      </c>
      <c r="HD23" s="1">
        <v>2.44</v>
      </c>
      <c r="HE23" s="1">
        <v>2.72</v>
      </c>
      <c r="HF23" s="1">
        <v>3.04</v>
      </c>
      <c r="HG23" s="1">
        <v>3.39</v>
      </c>
      <c r="HH23" s="1">
        <v>3.78</v>
      </c>
      <c r="HI23" s="1">
        <v>4.22</v>
      </c>
      <c r="HJ23" s="1">
        <v>4.7</v>
      </c>
      <c r="HK23" s="1">
        <v>5.24</v>
      </c>
      <c r="HL23" s="1">
        <v>5.84</v>
      </c>
      <c r="HM23" s="1">
        <v>6.51</v>
      </c>
      <c r="HN23" s="1">
        <v>7.24</v>
      </c>
      <c r="HO23" s="1">
        <v>8.0500000000000007</v>
      </c>
      <c r="HP23" s="1">
        <v>50.25</v>
      </c>
      <c r="HQ23">
        <v>36.840000000000003</v>
      </c>
      <c r="HR23" s="1">
        <v>30.34</v>
      </c>
      <c r="HS23" s="1">
        <v>26.64</v>
      </c>
      <c r="HT23" s="1">
        <v>24.38</v>
      </c>
      <c r="HU23" s="1">
        <v>22.22</v>
      </c>
      <c r="HV23" s="1">
        <v>24.6</v>
      </c>
      <c r="HW23" s="1">
        <v>102.73</v>
      </c>
      <c r="HX23" s="1">
        <v>68.180000000000007</v>
      </c>
      <c r="HY23" s="1">
        <v>51.85</v>
      </c>
      <c r="HZ23" s="1">
        <v>41.65</v>
      </c>
      <c r="IA23" s="1">
        <v>35.520000000000003</v>
      </c>
      <c r="IB23" s="1">
        <v>31.91</v>
      </c>
      <c r="IC23" s="1">
        <v>699.4</v>
      </c>
      <c r="ID23" s="1">
        <v>586.4</v>
      </c>
      <c r="IE23" s="1">
        <v>498.5</v>
      </c>
      <c r="IF23" s="1">
        <v>419.5</v>
      </c>
      <c r="IG23" s="1">
        <v>358.6</v>
      </c>
      <c r="IH23" s="1">
        <v>0</v>
      </c>
      <c r="II23" s="1">
        <v>0</v>
      </c>
      <c r="IJ23" s="1">
        <v>65.88</v>
      </c>
      <c r="IK23" s="1">
        <v>57.9</v>
      </c>
      <c r="IL23" s="1">
        <v>0</v>
      </c>
      <c r="IM23" s="1">
        <v>0</v>
      </c>
      <c r="IN23" s="1">
        <v>0</v>
      </c>
      <c r="IO23" s="1">
        <v>0</v>
      </c>
      <c r="IP23" s="1">
        <v>0</v>
      </c>
      <c r="IQ23" s="1">
        <v>0</v>
      </c>
      <c r="IR23" s="1">
        <v>0</v>
      </c>
      <c r="IS23" s="1">
        <v>0</v>
      </c>
      <c r="IT23" s="1">
        <v>0</v>
      </c>
      <c r="IU23" s="1">
        <v>0</v>
      </c>
      <c r="IV23" s="1">
        <v>0</v>
      </c>
      <c r="IW23" s="1">
        <v>0</v>
      </c>
      <c r="IX23" s="1">
        <v>0</v>
      </c>
      <c r="IY23" s="1">
        <v>0</v>
      </c>
      <c r="IZ23" s="1">
        <v>27.55</v>
      </c>
      <c r="JA23" s="1">
        <v>0</v>
      </c>
      <c r="JB23" s="1">
        <v>78.69</v>
      </c>
      <c r="JC23" s="1">
        <v>59.95</v>
      </c>
      <c r="JD23" s="1">
        <v>5.17</v>
      </c>
      <c r="JE23" s="1">
        <v>5.24</v>
      </c>
      <c r="JF23" s="1">
        <v>5.31</v>
      </c>
      <c r="JG23" s="1">
        <v>5.39</v>
      </c>
      <c r="JH23" s="1">
        <v>5.47</v>
      </c>
      <c r="JI23" s="1">
        <v>5.56</v>
      </c>
      <c r="JJ23" s="1">
        <v>23.84</v>
      </c>
      <c r="JK23" s="1">
        <v>28.43</v>
      </c>
      <c r="JL23" s="1">
        <v>32.979999999999997</v>
      </c>
      <c r="JM23" s="1">
        <v>37.5</v>
      </c>
      <c r="JN23" s="1">
        <v>42.02</v>
      </c>
      <c r="JO23" s="1">
        <v>46.54</v>
      </c>
      <c r="JP23" s="1">
        <v>92.05</v>
      </c>
      <c r="JQ23" s="1">
        <v>75.03</v>
      </c>
      <c r="JR23" s="1">
        <v>64</v>
      </c>
      <c r="JS23" s="1">
        <v>56.06</v>
      </c>
      <c r="JT23" s="1">
        <v>49.7</v>
      </c>
      <c r="JU23" s="1">
        <v>44.91</v>
      </c>
      <c r="JV23" s="1">
        <v>41.26</v>
      </c>
      <c r="JW23" s="1">
        <v>91.3</v>
      </c>
      <c r="JX23" s="1">
        <v>74.28</v>
      </c>
      <c r="JY23" s="1">
        <v>63.25</v>
      </c>
      <c r="JZ23" s="1">
        <v>55.31</v>
      </c>
      <c r="KA23" s="1">
        <v>48.95</v>
      </c>
      <c r="KB23" s="1">
        <v>44.16</v>
      </c>
      <c r="KC23" s="1">
        <v>40.51</v>
      </c>
    </row>
    <row r="24" spans="1:289" x14ac:dyDescent="0.15">
      <c r="A24" s="8">
        <v>32</v>
      </c>
      <c r="B24" s="1">
        <v>21.93</v>
      </c>
      <c r="C24" s="1">
        <v>99.56</v>
      </c>
      <c r="D24" s="1">
        <v>90.05</v>
      </c>
      <c r="E24" s="1">
        <v>82.18</v>
      </c>
      <c r="F24" s="1">
        <v>75.58</v>
      </c>
      <c r="G24" s="1">
        <v>69.959999999999994</v>
      </c>
      <c r="H24" s="1">
        <v>65.13</v>
      </c>
      <c r="I24" s="1">
        <v>60.94</v>
      </c>
      <c r="J24" s="1">
        <v>57.28</v>
      </c>
      <c r="K24" s="1">
        <v>54.06</v>
      </c>
      <c r="L24" s="1">
        <v>51.21</v>
      </c>
      <c r="M24" s="1">
        <v>48.67</v>
      </c>
      <c r="N24" s="1">
        <v>46.14</v>
      </c>
      <c r="O24" s="1">
        <v>43.85</v>
      </c>
      <c r="P24" s="1">
        <v>41.77</v>
      </c>
      <c r="Q24" s="1">
        <v>39.89</v>
      </c>
      <c r="R24" s="1">
        <v>38.17</v>
      </c>
      <c r="S24" s="1">
        <v>36.6</v>
      </c>
      <c r="T24" s="1">
        <v>35.159999999999997</v>
      </c>
      <c r="U24" s="1">
        <v>33.85</v>
      </c>
      <c r="V24" s="1">
        <v>32.65</v>
      </c>
      <c r="W24" s="1">
        <v>31.55</v>
      </c>
      <c r="X24" s="1">
        <v>30.54</v>
      </c>
      <c r="Y24" s="1">
        <v>29.62</v>
      </c>
      <c r="Z24" s="1">
        <v>28.78</v>
      </c>
      <c r="AA24" s="1">
        <v>28</v>
      </c>
      <c r="AB24" s="1">
        <v>27.3</v>
      </c>
      <c r="AC24" s="1">
        <v>26.65</v>
      </c>
      <c r="AD24" s="1">
        <v>26.06</v>
      </c>
      <c r="AE24" s="1">
        <v>25.53</v>
      </c>
      <c r="AF24" s="1">
        <v>25.04</v>
      </c>
      <c r="AG24" s="1">
        <v>24.6</v>
      </c>
      <c r="AH24" s="1">
        <v>24.21</v>
      </c>
      <c r="AI24" s="1">
        <v>23.85</v>
      </c>
      <c r="AJ24" s="1">
        <v>23.54</v>
      </c>
      <c r="AK24" s="10">
        <v>0</v>
      </c>
      <c r="AL24" s="10">
        <v>0</v>
      </c>
      <c r="AM24" s="10">
        <v>0</v>
      </c>
      <c r="AN24" s="10">
        <v>0</v>
      </c>
      <c r="AO24" s="10">
        <v>0</v>
      </c>
      <c r="AP24" s="10">
        <v>0</v>
      </c>
      <c r="AQ24" s="10">
        <v>0</v>
      </c>
      <c r="AR24" s="10">
        <v>0</v>
      </c>
      <c r="AS24" s="10">
        <v>0</v>
      </c>
      <c r="AT24" s="10">
        <v>0</v>
      </c>
      <c r="AU24" s="10">
        <v>0</v>
      </c>
      <c r="AV24" s="10">
        <v>0</v>
      </c>
      <c r="AW24" s="1">
        <v>63.59</v>
      </c>
      <c r="AX24" s="1">
        <v>55.68</v>
      </c>
      <c r="AY24" s="1">
        <v>49.48</v>
      </c>
      <c r="AZ24" s="1">
        <v>44.86</v>
      </c>
      <c r="BA24" s="1">
        <v>41.39</v>
      </c>
      <c r="BB24" s="6">
        <v>104.71</v>
      </c>
      <c r="BC24" s="6">
        <v>95.1</v>
      </c>
      <c r="BD24" s="6">
        <v>87.19</v>
      </c>
      <c r="BE24" s="6">
        <v>80.58</v>
      </c>
      <c r="BF24" s="6">
        <v>74.989999999999995</v>
      </c>
      <c r="BG24" s="6">
        <v>70.23</v>
      </c>
      <c r="BH24" s="6">
        <v>66.12</v>
      </c>
      <c r="BI24" s="6">
        <v>62.58</v>
      </c>
      <c r="BJ24" s="6">
        <v>59.5</v>
      </c>
      <c r="BK24" s="6">
        <v>56.8</v>
      </c>
      <c r="BL24" s="6">
        <v>54.45</v>
      </c>
      <c r="BM24" s="6">
        <v>52.1</v>
      </c>
      <c r="BN24" s="6">
        <v>50.03</v>
      </c>
      <c r="BO24" s="6">
        <v>48.18</v>
      </c>
      <c r="BP24" s="6">
        <v>46.56</v>
      </c>
      <c r="BQ24" s="1">
        <v>106.68</v>
      </c>
      <c r="BR24" s="1">
        <v>72.930000000000007</v>
      </c>
      <c r="BS24" s="1">
        <v>57.85</v>
      </c>
      <c r="BT24" s="1">
        <v>49.39</v>
      </c>
      <c r="BU24" s="1">
        <v>45.26</v>
      </c>
      <c r="BV24" s="1">
        <v>43.36</v>
      </c>
      <c r="BW24" s="1">
        <v>105.31</v>
      </c>
      <c r="BX24" s="1">
        <v>71.510000000000005</v>
      </c>
      <c r="BY24" s="1">
        <v>56</v>
      </c>
      <c r="BZ24" s="1">
        <v>46.89</v>
      </c>
      <c r="CA24" s="6">
        <v>107.2</v>
      </c>
      <c r="CB24" s="6">
        <v>98.03</v>
      </c>
      <c r="CC24" s="6">
        <v>90.47</v>
      </c>
      <c r="CD24" s="6">
        <v>84.18</v>
      </c>
      <c r="CE24" s="6">
        <v>78.87</v>
      </c>
      <c r="CF24" s="6">
        <v>74.36</v>
      </c>
      <c r="CG24" s="6">
        <v>70.63</v>
      </c>
      <c r="CH24" s="1">
        <v>67.459999999999994</v>
      </c>
      <c r="CI24" s="1">
        <v>64.7</v>
      </c>
      <c r="CJ24" s="1">
        <v>62.33</v>
      </c>
      <c r="CK24" s="1">
        <v>60.24</v>
      </c>
      <c r="CL24" s="1">
        <v>58.37</v>
      </c>
      <c r="CM24" s="1">
        <v>56.73</v>
      </c>
      <c r="CN24" s="1">
        <v>55.31</v>
      </c>
      <c r="CO24" s="1">
        <v>54.06</v>
      </c>
      <c r="CP24" s="1">
        <v>99.86</v>
      </c>
      <c r="CQ24" s="5">
        <v>90.32</v>
      </c>
      <c r="CR24" s="5">
        <v>82.43</v>
      </c>
      <c r="CS24" s="1">
        <v>75.78</v>
      </c>
      <c r="CT24" s="1">
        <v>70.13</v>
      </c>
      <c r="CU24" s="1">
        <v>65.260000000000005</v>
      </c>
      <c r="CV24" s="1">
        <v>61.03</v>
      </c>
      <c r="CW24" s="1">
        <v>57.33</v>
      </c>
      <c r="CX24" s="1">
        <v>54.07</v>
      </c>
      <c r="CY24" s="1">
        <v>51.17</v>
      </c>
      <c r="CZ24" s="1">
        <v>48.58</v>
      </c>
      <c r="DA24" s="1">
        <v>45.99</v>
      </c>
      <c r="DB24" s="1">
        <v>43.63</v>
      </c>
      <c r="DC24" s="1">
        <v>41.48</v>
      </c>
      <c r="DD24" s="1">
        <v>39.520000000000003</v>
      </c>
      <c r="DE24">
        <v>76.89</v>
      </c>
      <c r="DF24" s="1">
        <v>73.2</v>
      </c>
      <c r="DG24">
        <v>70.09</v>
      </c>
      <c r="DH24">
        <v>67.47</v>
      </c>
      <c r="DI24">
        <v>65.27</v>
      </c>
      <c r="DJ24" s="1">
        <v>63.45</v>
      </c>
      <c r="DK24" s="1">
        <v>61.7</v>
      </c>
      <c r="DL24" s="1">
        <v>60.26</v>
      </c>
      <c r="DM24" s="1">
        <v>59.1</v>
      </c>
      <c r="DN24" s="1">
        <v>58.19</v>
      </c>
      <c r="DO24" s="1">
        <v>57.51</v>
      </c>
      <c r="DP24" s="1">
        <v>8</v>
      </c>
      <c r="DQ24" s="1">
        <v>8</v>
      </c>
      <c r="DR24" s="1">
        <v>8</v>
      </c>
      <c r="DS24" s="1">
        <v>8</v>
      </c>
      <c r="DT24" s="1">
        <v>8.5500000000000007</v>
      </c>
      <c r="DU24" s="1">
        <v>3.06</v>
      </c>
      <c r="DV24" s="1">
        <v>3.21</v>
      </c>
      <c r="DW24" s="1">
        <v>3.35</v>
      </c>
      <c r="DX24" s="1">
        <v>3.5</v>
      </c>
      <c r="DY24" s="1">
        <v>3.64</v>
      </c>
      <c r="DZ24" s="1">
        <v>3.79</v>
      </c>
      <c r="EA24" s="1">
        <v>4</v>
      </c>
      <c r="EB24" s="1">
        <v>4.22</v>
      </c>
      <c r="EC24" s="1">
        <v>4.43</v>
      </c>
      <c r="ED24" s="1">
        <v>4.6500000000000004</v>
      </c>
      <c r="EE24" s="1">
        <v>4.8600000000000003</v>
      </c>
      <c r="EF24" s="1">
        <v>5.16</v>
      </c>
      <c r="EG24" s="1">
        <v>5.46</v>
      </c>
      <c r="EH24" s="1">
        <v>5.76</v>
      </c>
      <c r="EI24" s="1">
        <v>6.06</v>
      </c>
      <c r="EJ24" s="1">
        <v>6.36</v>
      </c>
      <c r="EK24" s="1">
        <v>6.73</v>
      </c>
      <c r="EL24" s="1">
        <v>7.13</v>
      </c>
      <c r="EM24" s="1">
        <v>7.55</v>
      </c>
      <c r="EN24" s="1">
        <v>8</v>
      </c>
      <c r="EO24" s="1">
        <v>8.48</v>
      </c>
      <c r="EP24" s="1">
        <v>8.98</v>
      </c>
      <c r="EQ24" s="1">
        <v>9.52</v>
      </c>
      <c r="ER24" s="1">
        <v>10.08</v>
      </c>
      <c r="ES24" s="10">
        <v>0</v>
      </c>
      <c r="ET24" s="10">
        <v>0</v>
      </c>
      <c r="EU24" s="10">
        <v>0</v>
      </c>
      <c r="EV24" s="10">
        <v>0</v>
      </c>
      <c r="EW24" s="1">
        <v>0</v>
      </c>
      <c r="EX24" s="10">
        <v>0</v>
      </c>
      <c r="EY24" s="10">
        <v>0</v>
      </c>
      <c r="EZ24" s="10">
        <v>0</v>
      </c>
      <c r="FA24" s="10">
        <v>0</v>
      </c>
      <c r="FB24" s="10">
        <v>0</v>
      </c>
      <c r="FC24" s="10">
        <v>0</v>
      </c>
      <c r="FD24" s="10">
        <v>0</v>
      </c>
      <c r="FE24" s="1">
        <v>4.25</v>
      </c>
      <c r="FF24" s="1">
        <v>4.38</v>
      </c>
      <c r="FG24" s="1">
        <v>4.5</v>
      </c>
      <c r="FH24" s="1">
        <v>4.63</v>
      </c>
      <c r="FI24" s="1">
        <v>4.75</v>
      </c>
      <c r="FJ24" s="1">
        <v>4.88</v>
      </c>
      <c r="FK24" s="1">
        <v>5.07</v>
      </c>
      <c r="FL24" s="1">
        <v>5.26</v>
      </c>
      <c r="FM24" s="1">
        <v>5.45</v>
      </c>
      <c r="FN24" s="1">
        <v>5.64</v>
      </c>
      <c r="FO24" s="1">
        <v>5.83</v>
      </c>
      <c r="FP24" s="1">
        <v>6.11</v>
      </c>
      <c r="FQ24" s="1">
        <v>6.39</v>
      </c>
      <c r="FR24" s="1">
        <v>6.66</v>
      </c>
      <c r="FS24" s="1">
        <v>6.94</v>
      </c>
      <c r="FT24" s="1">
        <v>7.22</v>
      </c>
      <c r="FU24" s="9">
        <v>1.25</v>
      </c>
      <c r="FV24" s="1">
        <v>0</v>
      </c>
      <c r="FW24" s="1">
        <v>0</v>
      </c>
      <c r="FX24">
        <v>1.415</v>
      </c>
      <c r="FY24" s="1">
        <v>0</v>
      </c>
      <c r="FZ24" s="9">
        <v>1.51</v>
      </c>
      <c r="GA24" s="1">
        <v>0</v>
      </c>
      <c r="GB24" s="1">
        <v>0</v>
      </c>
      <c r="GC24" s="9">
        <v>1.657</v>
      </c>
      <c r="GD24" s="1">
        <v>0</v>
      </c>
      <c r="GE24" s="9">
        <v>1.7709999999999999</v>
      </c>
      <c r="GF24" s="9">
        <v>1.837</v>
      </c>
      <c r="GG24" s="1">
        <v>0</v>
      </c>
      <c r="GH24">
        <v>1.9930000000000001</v>
      </c>
      <c r="GI24" s="9">
        <v>2.085</v>
      </c>
      <c r="GJ24" s="9">
        <v>2.1880000000000002</v>
      </c>
      <c r="GK24" s="1">
        <v>0</v>
      </c>
      <c r="GL24" s="9">
        <v>2.3980000000000001</v>
      </c>
      <c r="GM24">
        <v>2.5139999999999998</v>
      </c>
      <c r="GN24" s="1">
        <v>0</v>
      </c>
      <c r="GO24" s="1">
        <v>0</v>
      </c>
      <c r="GP24" s="1">
        <v>0</v>
      </c>
      <c r="GQ24" s="1">
        <v>0</v>
      </c>
      <c r="GR24" s="1">
        <v>0</v>
      </c>
      <c r="GS24" s="1">
        <v>0</v>
      </c>
      <c r="GT24" s="10">
        <v>0</v>
      </c>
      <c r="GU24" s="1">
        <v>0</v>
      </c>
      <c r="GV24" s="1">
        <v>0</v>
      </c>
      <c r="GW24" s="1">
        <v>0</v>
      </c>
      <c r="GX24" s="1">
        <v>0</v>
      </c>
      <c r="GY24" s="1">
        <v>0</v>
      </c>
      <c r="GZ24" s="1">
        <v>1.65</v>
      </c>
      <c r="HA24" s="1">
        <v>1.86</v>
      </c>
      <c r="HB24" s="1">
        <v>2.1</v>
      </c>
      <c r="HC24" s="1">
        <v>2.36</v>
      </c>
      <c r="HD24" s="1">
        <v>2.65</v>
      </c>
      <c r="HE24" s="1">
        <v>2.97</v>
      </c>
      <c r="HF24" s="1">
        <v>3.33</v>
      </c>
      <c r="HG24" s="1">
        <v>3.72</v>
      </c>
      <c r="HH24" s="1">
        <v>4.16</v>
      </c>
      <c r="HI24" s="1">
        <v>4.6500000000000004</v>
      </c>
      <c r="HJ24" s="1">
        <v>5.2</v>
      </c>
      <c r="HK24" s="1">
        <v>5.81</v>
      </c>
      <c r="HL24" s="1">
        <v>6.48</v>
      </c>
      <c r="HM24" s="1">
        <v>7.23</v>
      </c>
      <c r="HN24" s="1">
        <v>8.06</v>
      </c>
      <c r="HO24" s="1">
        <v>8.9600000000000009</v>
      </c>
      <c r="HP24" s="1">
        <v>51.43</v>
      </c>
      <c r="HQ24">
        <v>37.72</v>
      </c>
      <c r="HR24" s="1">
        <v>31.09</v>
      </c>
      <c r="HS24" s="1">
        <v>27.32</v>
      </c>
      <c r="HT24" s="1">
        <v>25.04</v>
      </c>
      <c r="HU24" s="1">
        <v>23.03</v>
      </c>
      <c r="HV24" s="1">
        <v>25.53</v>
      </c>
      <c r="HW24" s="1">
        <v>102.87</v>
      </c>
      <c r="HX24" s="1">
        <v>68.38</v>
      </c>
      <c r="HY24" s="1">
        <v>52.13</v>
      </c>
      <c r="HZ24" s="1">
        <v>42.04</v>
      </c>
      <c r="IA24" s="1">
        <v>36.06</v>
      </c>
      <c r="IB24" s="1">
        <v>32.61</v>
      </c>
      <c r="IC24" s="1">
        <v>699.4</v>
      </c>
      <c r="ID24" s="1">
        <v>586.4</v>
      </c>
      <c r="IE24" s="1">
        <v>498.5</v>
      </c>
      <c r="IF24" s="1">
        <v>419.5</v>
      </c>
      <c r="IG24" s="1">
        <v>358.6</v>
      </c>
      <c r="IH24" s="1">
        <v>0</v>
      </c>
      <c r="II24" s="1">
        <v>0</v>
      </c>
      <c r="IJ24" s="1">
        <v>66.09</v>
      </c>
      <c r="IK24" s="1">
        <v>58.18</v>
      </c>
      <c r="IL24" s="1">
        <v>0</v>
      </c>
      <c r="IM24" s="1">
        <v>0</v>
      </c>
      <c r="IN24" s="1">
        <v>0</v>
      </c>
      <c r="IO24" s="1">
        <v>0</v>
      </c>
      <c r="IP24" s="1">
        <v>0</v>
      </c>
      <c r="IQ24" s="1">
        <v>0</v>
      </c>
      <c r="IR24" s="1">
        <v>0</v>
      </c>
      <c r="IS24" s="1">
        <v>0</v>
      </c>
      <c r="IT24" s="1">
        <v>0</v>
      </c>
      <c r="IU24" s="1">
        <v>0</v>
      </c>
      <c r="IV24" s="1">
        <v>0</v>
      </c>
      <c r="IW24" s="1">
        <v>0</v>
      </c>
      <c r="IX24" s="1">
        <v>0</v>
      </c>
      <c r="IY24" s="1">
        <v>28.38</v>
      </c>
      <c r="IZ24" s="1">
        <v>0</v>
      </c>
      <c r="JA24" s="1">
        <v>0</v>
      </c>
      <c r="JB24" s="1">
        <v>78.8</v>
      </c>
      <c r="JC24" s="1">
        <v>60.05</v>
      </c>
      <c r="JD24" s="1">
        <v>5.31</v>
      </c>
      <c r="JE24" s="1">
        <v>5.38</v>
      </c>
      <c r="JF24" s="1">
        <v>5.47</v>
      </c>
      <c r="JG24" s="1">
        <v>5.55</v>
      </c>
      <c r="JH24" s="1">
        <v>5.65</v>
      </c>
      <c r="JI24" s="1">
        <v>5.75</v>
      </c>
      <c r="JJ24" s="1">
        <v>24.47</v>
      </c>
      <c r="JK24" s="1">
        <v>29.21</v>
      </c>
      <c r="JL24" s="1">
        <v>33.93</v>
      </c>
      <c r="JM24" s="1">
        <v>38.630000000000003</v>
      </c>
      <c r="JN24" s="1">
        <v>43.34</v>
      </c>
      <c r="JO24" s="1">
        <v>48.07</v>
      </c>
      <c r="JP24" s="1">
        <v>92.18</v>
      </c>
      <c r="JQ24" s="1">
        <v>75.180000000000007</v>
      </c>
      <c r="JR24" s="1">
        <v>64.19</v>
      </c>
      <c r="JS24" s="1">
        <v>56.31</v>
      </c>
      <c r="JT24" s="1">
        <v>50.01</v>
      </c>
      <c r="JU24" s="1">
        <v>45.29</v>
      </c>
      <c r="JV24" s="1">
        <v>41.7</v>
      </c>
      <c r="JW24" s="1">
        <v>91.43</v>
      </c>
      <c r="JX24" s="1">
        <v>74.430000000000007</v>
      </c>
      <c r="JY24" s="1">
        <v>63.44</v>
      </c>
      <c r="JZ24" s="1">
        <v>55.56</v>
      </c>
      <c r="KA24" s="1">
        <v>49.26</v>
      </c>
      <c r="KB24" s="1">
        <v>44.54</v>
      </c>
      <c r="KC24" s="1">
        <v>40.950000000000003</v>
      </c>
    </row>
    <row r="25" spans="1:289" x14ac:dyDescent="0.15">
      <c r="A25" s="8">
        <v>33</v>
      </c>
      <c r="B25" s="1">
        <v>22.69</v>
      </c>
      <c r="C25" s="1">
        <v>99.64</v>
      </c>
      <c r="D25" s="1">
        <v>90.14</v>
      </c>
      <c r="E25" s="1">
        <v>82.27</v>
      </c>
      <c r="F25" s="1">
        <v>75.67</v>
      </c>
      <c r="G25" s="1">
        <v>70.06</v>
      </c>
      <c r="H25" s="1">
        <v>65.239999999999995</v>
      </c>
      <c r="I25" s="1">
        <v>61.06</v>
      </c>
      <c r="J25" s="1">
        <v>57.4</v>
      </c>
      <c r="K25" s="1">
        <v>54.19</v>
      </c>
      <c r="L25" s="1">
        <v>51.35</v>
      </c>
      <c r="M25" s="1">
        <v>48.83</v>
      </c>
      <c r="N25" s="1">
        <v>46.3</v>
      </c>
      <c r="O25" s="1">
        <v>44.03</v>
      </c>
      <c r="P25" s="1">
        <v>41.97</v>
      </c>
      <c r="Q25" s="1">
        <v>40.090000000000003</v>
      </c>
      <c r="R25" s="1">
        <v>38.39</v>
      </c>
      <c r="S25" s="1">
        <v>36.840000000000003</v>
      </c>
      <c r="T25" s="1">
        <v>35.42</v>
      </c>
      <c r="U25" s="1">
        <v>34.130000000000003</v>
      </c>
      <c r="V25" s="1">
        <v>32.94</v>
      </c>
      <c r="W25" s="1">
        <v>31.86</v>
      </c>
      <c r="X25" s="1">
        <v>30.87</v>
      </c>
      <c r="Y25" s="1">
        <v>29.97</v>
      </c>
      <c r="Z25" s="1">
        <v>29.14</v>
      </c>
      <c r="AA25" s="1">
        <v>28.39</v>
      </c>
      <c r="AB25" s="1">
        <v>27.7</v>
      </c>
      <c r="AC25" s="1">
        <v>27.07</v>
      </c>
      <c r="AD25" s="1">
        <v>26.5</v>
      </c>
      <c r="AE25" s="1">
        <v>25.99</v>
      </c>
      <c r="AF25" s="1">
        <v>25.52</v>
      </c>
      <c r="AG25" s="1">
        <v>25.1</v>
      </c>
      <c r="AH25" s="1">
        <v>24.73</v>
      </c>
      <c r="AI25" s="1">
        <v>24.39</v>
      </c>
      <c r="AJ25" s="10">
        <v>0</v>
      </c>
      <c r="AK25" s="10">
        <v>0</v>
      </c>
      <c r="AL25" s="1">
        <v>0</v>
      </c>
      <c r="AM25" s="1">
        <v>0</v>
      </c>
      <c r="AN25" s="10">
        <v>0</v>
      </c>
      <c r="AO25" s="10">
        <v>0</v>
      </c>
      <c r="AP25" s="10">
        <v>0</v>
      </c>
      <c r="AQ25" s="10">
        <v>0</v>
      </c>
      <c r="AR25" s="10">
        <v>0</v>
      </c>
      <c r="AS25" s="10">
        <v>0</v>
      </c>
      <c r="AT25" s="10">
        <v>0</v>
      </c>
      <c r="AU25" s="10">
        <v>0</v>
      </c>
      <c r="AV25" s="10">
        <v>0</v>
      </c>
      <c r="AW25" s="1">
        <v>63.82</v>
      </c>
      <c r="AX25" s="1">
        <v>55.98</v>
      </c>
      <c r="AY25" s="1">
        <v>49.85</v>
      </c>
      <c r="AZ25" s="1">
        <v>45.32</v>
      </c>
      <c r="BA25" s="1">
        <v>41.91</v>
      </c>
      <c r="BB25" s="6">
        <v>104.9</v>
      </c>
      <c r="BC25" s="6">
        <v>95.31</v>
      </c>
      <c r="BD25" s="6">
        <v>87.41</v>
      </c>
      <c r="BE25" s="6">
        <v>80.83</v>
      </c>
      <c r="BF25" s="6">
        <v>75.260000000000005</v>
      </c>
      <c r="BG25" s="6">
        <v>70.510000000000005</v>
      </c>
      <c r="BH25" s="6">
        <v>66.44</v>
      </c>
      <c r="BI25" s="6">
        <v>62.93</v>
      </c>
      <c r="BJ25" s="6">
        <v>59.87</v>
      </c>
      <c r="BK25" s="6">
        <v>57.22</v>
      </c>
      <c r="BL25" s="6">
        <v>54.9</v>
      </c>
      <c r="BM25" s="6">
        <v>52.59</v>
      </c>
      <c r="BN25" s="6">
        <v>50.56</v>
      </c>
      <c r="BO25" s="6">
        <v>48.77</v>
      </c>
      <c r="BP25" s="6">
        <v>47.19</v>
      </c>
      <c r="BQ25" s="1">
        <v>107.15</v>
      </c>
      <c r="BR25" s="1">
        <v>73.59</v>
      </c>
      <c r="BS25" s="1">
        <v>58.77</v>
      </c>
      <c r="BT25" s="1">
        <v>50.62</v>
      </c>
      <c r="BU25" s="1">
        <v>46.73</v>
      </c>
      <c r="BV25" s="1">
        <v>44.97</v>
      </c>
      <c r="BW25" s="1">
        <v>105.6</v>
      </c>
      <c r="BX25" s="1">
        <v>71.92</v>
      </c>
      <c r="BY25" s="1">
        <v>56.59</v>
      </c>
      <c r="BZ25" s="1">
        <v>47.71</v>
      </c>
      <c r="CA25" s="6">
        <v>107.48</v>
      </c>
      <c r="CB25" s="6">
        <v>98.33</v>
      </c>
      <c r="CC25" s="6">
        <v>90.84</v>
      </c>
      <c r="CD25" s="6">
        <v>84.59</v>
      </c>
      <c r="CE25" s="6">
        <v>79.34</v>
      </c>
      <c r="CF25" s="6">
        <v>74.87</v>
      </c>
      <c r="CG25" s="6">
        <v>71.22</v>
      </c>
      <c r="CH25" s="1">
        <v>68.069999999999993</v>
      </c>
      <c r="CI25" s="1">
        <v>65.38</v>
      </c>
      <c r="CJ25" s="1">
        <v>63.04</v>
      </c>
      <c r="CK25" s="1">
        <v>61.04</v>
      </c>
      <c r="CL25" s="1">
        <v>59.26</v>
      </c>
      <c r="CM25" s="1">
        <v>57.73</v>
      </c>
      <c r="CN25" s="1">
        <v>56.38</v>
      </c>
      <c r="CO25" s="1">
        <v>55.23</v>
      </c>
      <c r="CP25" s="1">
        <v>99.92</v>
      </c>
      <c r="CQ25" s="5">
        <v>90.39</v>
      </c>
      <c r="CR25" s="5">
        <v>82.49</v>
      </c>
      <c r="CS25" s="1">
        <v>75.849999999999994</v>
      </c>
      <c r="CT25" s="1">
        <v>70.2</v>
      </c>
      <c r="CU25" s="1">
        <v>65.34</v>
      </c>
      <c r="CV25" s="1">
        <v>61.11</v>
      </c>
      <c r="CW25" s="1">
        <v>57.41</v>
      </c>
      <c r="CX25" s="1">
        <v>54.15</v>
      </c>
      <c r="CY25" s="1">
        <v>51.26</v>
      </c>
      <c r="CZ25" s="1">
        <v>48.68</v>
      </c>
      <c r="DA25" s="1">
        <v>46.09</v>
      </c>
      <c r="DB25" s="1">
        <v>43.73</v>
      </c>
      <c r="DC25" s="1">
        <v>41.59</v>
      </c>
      <c r="DD25" s="1">
        <v>39.630000000000003</v>
      </c>
      <c r="DE25">
        <v>77.989999999999995</v>
      </c>
      <c r="DF25">
        <v>74.38</v>
      </c>
      <c r="DG25">
        <v>71.36</v>
      </c>
      <c r="DH25">
        <v>68.83</v>
      </c>
      <c r="DI25">
        <v>66.75</v>
      </c>
      <c r="DJ25" s="1">
        <v>65.040000000000006</v>
      </c>
      <c r="DK25" s="1">
        <v>63.41</v>
      </c>
      <c r="DL25" s="1">
        <v>62.09</v>
      </c>
      <c r="DM25" s="1">
        <v>61.06</v>
      </c>
      <c r="DN25" s="1">
        <v>60.28</v>
      </c>
      <c r="DO25" s="1">
        <v>59.73</v>
      </c>
      <c r="DP25" s="1">
        <v>8</v>
      </c>
      <c r="DQ25" s="1">
        <v>8</v>
      </c>
      <c r="DR25" s="1">
        <v>8</v>
      </c>
      <c r="DS25" s="1">
        <v>8</v>
      </c>
      <c r="DT25" s="1">
        <v>8.84</v>
      </c>
      <c r="DU25" s="1">
        <v>3.15</v>
      </c>
      <c r="DV25" s="1">
        <v>3.31</v>
      </c>
      <c r="DW25" s="1">
        <v>3.48</v>
      </c>
      <c r="DX25" s="1">
        <v>3.64</v>
      </c>
      <c r="DY25" s="1">
        <v>3.81</v>
      </c>
      <c r="DZ25" s="1">
        <v>3.97</v>
      </c>
      <c r="EA25" s="1">
        <v>4.21</v>
      </c>
      <c r="EB25" s="1">
        <v>4.4400000000000004</v>
      </c>
      <c r="EC25" s="1">
        <v>4.68</v>
      </c>
      <c r="ED25" s="1">
        <v>4.91</v>
      </c>
      <c r="EE25" s="1">
        <v>5.15</v>
      </c>
      <c r="EF25" s="1">
        <v>5.49</v>
      </c>
      <c r="EG25" s="1">
        <v>5.83</v>
      </c>
      <c r="EH25" s="1">
        <v>6.16</v>
      </c>
      <c r="EI25" s="1">
        <v>6.5</v>
      </c>
      <c r="EJ25" s="1">
        <v>6.84</v>
      </c>
      <c r="EK25" s="1">
        <v>7.25</v>
      </c>
      <c r="EL25" s="1">
        <v>7.69</v>
      </c>
      <c r="EM25" s="1">
        <v>8.17</v>
      </c>
      <c r="EN25" s="1">
        <v>8.67</v>
      </c>
      <c r="EO25" s="1">
        <v>9.1999999999999993</v>
      </c>
      <c r="EP25" s="1">
        <v>9.76</v>
      </c>
      <c r="EQ25" s="1">
        <v>10.34</v>
      </c>
      <c r="ER25" s="10">
        <v>0</v>
      </c>
      <c r="ES25" s="10">
        <v>0</v>
      </c>
      <c r="ET25" s="10">
        <v>0</v>
      </c>
      <c r="EU25" s="10">
        <v>0</v>
      </c>
      <c r="EV25" s="1">
        <v>0</v>
      </c>
      <c r="EW25" s="10">
        <v>0</v>
      </c>
      <c r="EX25" s="10">
        <v>0</v>
      </c>
      <c r="EY25" s="10">
        <v>0</v>
      </c>
      <c r="EZ25" s="10">
        <v>0</v>
      </c>
      <c r="FA25" s="10">
        <v>0</v>
      </c>
      <c r="FB25" s="10">
        <v>0</v>
      </c>
      <c r="FC25" s="10">
        <v>0</v>
      </c>
      <c r="FD25" s="10">
        <v>0</v>
      </c>
      <c r="FE25" s="1">
        <v>4.46</v>
      </c>
      <c r="FF25" s="1">
        <v>4.5999999999999996</v>
      </c>
      <c r="FG25" s="1">
        <v>4.75</v>
      </c>
      <c r="FH25" s="1">
        <v>4.8899999999999997</v>
      </c>
      <c r="FI25" s="1">
        <v>5.04</v>
      </c>
      <c r="FJ25" s="1">
        <v>5.18</v>
      </c>
      <c r="FK25" s="1">
        <v>5.4</v>
      </c>
      <c r="FL25" s="1">
        <v>5.61</v>
      </c>
      <c r="FM25" s="1">
        <v>5.83</v>
      </c>
      <c r="FN25" s="1">
        <v>6.04</v>
      </c>
      <c r="FO25" s="1">
        <v>6.26</v>
      </c>
      <c r="FP25" s="1">
        <v>6.57</v>
      </c>
      <c r="FQ25" s="1">
        <v>6.88</v>
      </c>
      <c r="FR25" s="1">
        <v>7.2</v>
      </c>
      <c r="FS25" s="1">
        <v>7.51</v>
      </c>
      <c r="FT25" s="1">
        <v>7.82</v>
      </c>
      <c r="FU25" s="9">
        <v>1.3540000000000001</v>
      </c>
      <c r="FV25" s="1">
        <v>0</v>
      </c>
      <c r="FW25">
        <v>1.472</v>
      </c>
      <c r="FX25" s="1">
        <v>0</v>
      </c>
      <c r="FY25" s="1">
        <v>0</v>
      </c>
      <c r="FZ25" s="9">
        <v>1.615</v>
      </c>
      <c r="GA25" s="1">
        <v>0</v>
      </c>
      <c r="GB25">
        <v>1.7070000000000001</v>
      </c>
      <c r="GC25" s="9">
        <v>1.758</v>
      </c>
      <c r="GD25" s="1">
        <v>0</v>
      </c>
      <c r="GE25" s="9">
        <v>1.875</v>
      </c>
      <c r="GF25" s="9">
        <v>1.9450000000000001</v>
      </c>
      <c r="GG25">
        <v>2.0259999999999998</v>
      </c>
      <c r="GH25" s="1">
        <v>0</v>
      </c>
      <c r="GI25" s="9">
        <v>2.2229999999999999</v>
      </c>
      <c r="GJ25" s="9">
        <v>2.3439999999999999</v>
      </c>
      <c r="GK25" s="1">
        <v>0</v>
      </c>
      <c r="GL25" s="9">
        <v>2.6150000000000002</v>
      </c>
      <c r="GM25" s="1">
        <v>0</v>
      </c>
      <c r="GN25" s="1">
        <v>0</v>
      </c>
      <c r="GO25" s="10">
        <v>0</v>
      </c>
      <c r="GP25" s="1">
        <v>0</v>
      </c>
      <c r="GQ25" s="1">
        <v>0</v>
      </c>
      <c r="GR25" s="1">
        <v>0</v>
      </c>
      <c r="GS25" s="1">
        <v>0</v>
      </c>
      <c r="GT25" s="10">
        <v>0</v>
      </c>
      <c r="GU25" s="1">
        <v>0</v>
      </c>
      <c r="GV25" s="1">
        <v>0</v>
      </c>
      <c r="GW25" s="1">
        <v>0</v>
      </c>
      <c r="GX25" s="1">
        <v>0</v>
      </c>
      <c r="GY25" s="10">
        <v>0</v>
      </c>
      <c r="GZ25" s="1">
        <v>1.78</v>
      </c>
      <c r="HA25" s="1">
        <v>2.02</v>
      </c>
      <c r="HB25" s="1">
        <v>2.2799999999999998</v>
      </c>
      <c r="HC25" s="1">
        <v>2.57</v>
      </c>
      <c r="HD25" s="1">
        <v>2.89</v>
      </c>
      <c r="HE25" s="1">
        <v>3.25</v>
      </c>
      <c r="HF25" s="1">
        <v>3.65</v>
      </c>
      <c r="HG25" s="1">
        <v>4.0999999999999996</v>
      </c>
      <c r="HH25" s="1">
        <v>4.59</v>
      </c>
      <c r="HI25" s="1">
        <v>5.15</v>
      </c>
      <c r="HJ25" s="1">
        <v>5.76</v>
      </c>
      <c r="HK25" s="1">
        <v>6.45</v>
      </c>
      <c r="HL25" s="1">
        <v>7.21</v>
      </c>
      <c r="HM25" s="1">
        <v>8.0500000000000007</v>
      </c>
      <c r="HN25" s="1">
        <v>8.9600000000000009</v>
      </c>
      <c r="HO25" s="1">
        <v>9.9600000000000009</v>
      </c>
      <c r="HP25" s="1">
        <v>52.63</v>
      </c>
      <c r="HQ25">
        <v>38.630000000000003</v>
      </c>
      <c r="HR25" s="1">
        <v>31.86</v>
      </c>
      <c r="HS25" s="1">
        <v>28.03</v>
      </c>
      <c r="HT25" s="1">
        <v>25.71</v>
      </c>
      <c r="HU25" s="1">
        <v>23.89</v>
      </c>
      <c r="HV25" s="1">
        <v>26.5</v>
      </c>
      <c r="HW25" s="1">
        <v>103.03</v>
      </c>
      <c r="HX25" s="1">
        <v>68.599999999999994</v>
      </c>
      <c r="HY25" s="1">
        <v>52.44</v>
      </c>
      <c r="HZ25" s="1">
        <v>42.48</v>
      </c>
      <c r="IA25" s="1">
        <v>36.659999999999997</v>
      </c>
      <c r="IB25" s="1">
        <v>33.369999999999997</v>
      </c>
      <c r="IC25" s="1">
        <v>699.4</v>
      </c>
      <c r="ID25" s="1">
        <v>586.4</v>
      </c>
      <c r="IE25" s="1">
        <v>503.9</v>
      </c>
      <c r="IF25" s="1">
        <v>429.4</v>
      </c>
      <c r="IG25" s="1">
        <v>374.5</v>
      </c>
      <c r="IH25" s="1">
        <v>0</v>
      </c>
      <c r="II25" s="1">
        <v>0</v>
      </c>
      <c r="IJ25" s="1">
        <v>66.319999999999993</v>
      </c>
      <c r="IK25" s="1">
        <v>58.48</v>
      </c>
      <c r="IL25" s="1">
        <v>0</v>
      </c>
      <c r="IM25" s="1">
        <v>0</v>
      </c>
      <c r="IN25" s="1">
        <v>0</v>
      </c>
      <c r="IO25" s="1">
        <v>0</v>
      </c>
      <c r="IP25" s="1">
        <v>0</v>
      </c>
      <c r="IQ25" s="1">
        <v>0</v>
      </c>
      <c r="IR25" s="1">
        <v>0</v>
      </c>
      <c r="IS25" s="1">
        <v>0</v>
      </c>
      <c r="IT25" s="1">
        <v>0</v>
      </c>
      <c r="IU25" s="1">
        <v>0</v>
      </c>
      <c r="IV25" s="1">
        <v>0</v>
      </c>
      <c r="IW25" s="1">
        <v>0</v>
      </c>
      <c r="IX25" s="1">
        <v>29.28</v>
      </c>
      <c r="IY25" s="1">
        <v>0</v>
      </c>
      <c r="IZ25" s="1">
        <v>0</v>
      </c>
      <c r="JA25" s="1">
        <v>0</v>
      </c>
      <c r="JB25" s="1">
        <v>78.900000000000006</v>
      </c>
      <c r="JC25" s="1">
        <v>60.26</v>
      </c>
      <c r="JD25" s="1">
        <v>5.46</v>
      </c>
      <c r="JE25" s="1">
        <v>5.55</v>
      </c>
      <c r="JF25" s="1">
        <v>5.64</v>
      </c>
      <c r="JG25" s="1">
        <v>5.74</v>
      </c>
      <c r="JH25" s="1">
        <v>5.84</v>
      </c>
      <c r="JI25" s="1">
        <v>5.96</v>
      </c>
      <c r="JJ25" s="1">
        <v>25.18</v>
      </c>
      <c r="JK25" s="1">
        <v>30.09</v>
      </c>
      <c r="JL25" s="1">
        <v>34.99</v>
      </c>
      <c r="JM25" s="1">
        <v>39.89</v>
      </c>
      <c r="JN25" s="1">
        <v>44.82</v>
      </c>
      <c r="JO25" s="1">
        <v>49.79</v>
      </c>
      <c r="JP25" s="1">
        <v>92.32</v>
      </c>
      <c r="JQ25" s="1">
        <v>75.36</v>
      </c>
      <c r="JR25" s="1">
        <v>64.41</v>
      </c>
      <c r="JS25" s="1">
        <v>56.59</v>
      </c>
      <c r="JT25" s="1">
        <v>50.35</v>
      </c>
      <c r="JU25" s="1">
        <v>45.7</v>
      </c>
      <c r="JV25" s="1">
        <v>42.19</v>
      </c>
      <c r="JW25" s="1">
        <v>91.57</v>
      </c>
      <c r="JX25" s="1">
        <v>74.61</v>
      </c>
      <c r="JY25" s="1">
        <v>63.66</v>
      </c>
      <c r="JZ25" s="1">
        <v>55.84</v>
      </c>
      <c r="KA25" s="1">
        <v>49.6</v>
      </c>
      <c r="KB25" s="1">
        <v>44.95</v>
      </c>
      <c r="KC25" s="1">
        <v>41.44</v>
      </c>
    </row>
    <row r="26" spans="1:289" x14ac:dyDescent="0.15">
      <c r="A26" s="8">
        <v>34</v>
      </c>
      <c r="B26" s="1">
        <v>23.49</v>
      </c>
      <c r="C26" s="1">
        <v>99.72</v>
      </c>
      <c r="D26" s="1">
        <v>90.23</v>
      </c>
      <c r="E26" s="1">
        <v>82.37</v>
      </c>
      <c r="F26" s="1">
        <v>75.78</v>
      </c>
      <c r="G26" s="1">
        <v>70.17</v>
      </c>
      <c r="H26" s="1">
        <v>65.36</v>
      </c>
      <c r="I26" s="1">
        <v>61.19</v>
      </c>
      <c r="J26" s="1">
        <v>57.54</v>
      </c>
      <c r="K26" s="1">
        <v>54.34</v>
      </c>
      <c r="L26" s="1">
        <v>51.51</v>
      </c>
      <c r="M26" s="1">
        <v>49</v>
      </c>
      <c r="N26" s="1">
        <v>46.49</v>
      </c>
      <c r="O26" s="1">
        <v>44.23</v>
      </c>
      <c r="P26" s="1">
        <v>42.18</v>
      </c>
      <c r="Q26" s="1">
        <v>40.33</v>
      </c>
      <c r="R26" s="1">
        <v>38.64</v>
      </c>
      <c r="S26" s="1">
        <v>37.11</v>
      </c>
      <c r="T26" s="1">
        <v>35.71</v>
      </c>
      <c r="U26" s="1">
        <v>34.43</v>
      </c>
      <c r="V26" s="1">
        <v>33.270000000000003</v>
      </c>
      <c r="W26" s="1">
        <v>32.21</v>
      </c>
      <c r="X26" s="1">
        <v>31.24</v>
      </c>
      <c r="Y26" s="1">
        <v>30.35</v>
      </c>
      <c r="Z26" s="1">
        <v>29.55</v>
      </c>
      <c r="AA26" s="1">
        <v>28.81</v>
      </c>
      <c r="AB26" s="1">
        <v>28.14</v>
      </c>
      <c r="AC26" s="1">
        <v>27.54</v>
      </c>
      <c r="AD26" s="1">
        <v>26.99</v>
      </c>
      <c r="AE26" s="1">
        <v>26.5</v>
      </c>
      <c r="AF26" s="1">
        <v>26.05</v>
      </c>
      <c r="AG26" s="1">
        <v>25.65</v>
      </c>
      <c r="AH26" s="1">
        <v>25.3</v>
      </c>
      <c r="AI26" s="10">
        <v>0</v>
      </c>
      <c r="AJ26" s="10">
        <v>0</v>
      </c>
      <c r="AK26" s="1">
        <v>0</v>
      </c>
      <c r="AL26" s="10">
        <v>0</v>
      </c>
      <c r="AM26" s="10">
        <v>0</v>
      </c>
      <c r="AN26" s="10">
        <v>0</v>
      </c>
      <c r="AO26" s="10">
        <v>0</v>
      </c>
      <c r="AP26" s="10">
        <v>0</v>
      </c>
      <c r="AQ26" s="10">
        <v>0</v>
      </c>
      <c r="AR26" s="10">
        <v>0</v>
      </c>
      <c r="AS26" s="10">
        <v>0</v>
      </c>
      <c r="AT26" s="10">
        <v>0</v>
      </c>
      <c r="AU26" s="10">
        <v>0</v>
      </c>
      <c r="AV26" s="10">
        <v>0</v>
      </c>
      <c r="AW26" s="1">
        <v>64.099999999999994</v>
      </c>
      <c r="AX26" s="1">
        <v>56.32</v>
      </c>
      <c r="AY26" s="1">
        <v>50.28</v>
      </c>
      <c r="AZ26" s="1">
        <v>45.82</v>
      </c>
      <c r="BA26" s="1">
        <v>42.48</v>
      </c>
      <c r="BB26" s="6">
        <v>105.08</v>
      </c>
      <c r="BC26" s="6">
        <v>95.51</v>
      </c>
      <c r="BD26" s="6">
        <v>87.63</v>
      </c>
      <c r="BE26" s="6">
        <v>81.069999999999993</v>
      </c>
      <c r="BF26" s="6">
        <v>75.52</v>
      </c>
      <c r="BG26" s="6">
        <v>70.8</v>
      </c>
      <c r="BH26" s="6">
        <v>66.75</v>
      </c>
      <c r="BI26" s="6">
        <v>63.27</v>
      </c>
      <c r="BJ26" s="6">
        <v>60.25</v>
      </c>
      <c r="BK26" s="6">
        <v>57.63</v>
      </c>
      <c r="BL26" s="6">
        <v>55.35</v>
      </c>
      <c r="BM26" s="6">
        <v>53.08</v>
      </c>
      <c r="BN26" s="6">
        <v>51.1</v>
      </c>
      <c r="BO26" s="6">
        <v>49.35</v>
      </c>
      <c r="BP26" s="6">
        <v>47.82</v>
      </c>
      <c r="BQ26" s="1">
        <v>107.69</v>
      </c>
      <c r="BR26" s="1">
        <v>74.34</v>
      </c>
      <c r="BS26" s="1">
        <v>59.81</v>
      </c>
      <c r="BT26" s="1">
        <v>51.99</v>
      </c>
      <c r="BU26" s="1">
        <v>48.33</v>
      </c>
      <c r="BV26" s="1">
        <v>46.7</v>
      </c>
      <c r="BW26" s="1">
        <v>105.92</v>
      </c>
      <c r="BX26" s="1">
        <v>72.38</v>
      </c>
      <c r="BY26" s="1">
        <v>57.25</v>
      </c>
      <c r="BZ26" s="1">
        <v>48.62</v>
      </c>
      <c r="CA26" s="6">
        <v>107.79</v>
      </c>
      <c r="CB26" s="6">
        <v>98.69</v>
      </c>
      <c r="CC26" s="6">
        <v>91.23</v>
      </c>
      <c r="CD26" s="6">
        <v>85.05</v>
      </c>
      <c r="CE26" s="6">
        <v>79.83</v>
      </c>
      <c r="CF26" s="6">
        <v>75.41</v>
      </c>
      <c r="CG26" s="6">
        <v>71.81</v>
      </c>
      <c r="CH26" s="1">
        <v>68.760000000000005</v>
      </c>
      <c r="CI26" s="1">
        <v>66.13</v>
      </c>
      <c r="CJ26" s="1">
        <v>63.89</v>
      </c>
      <c r="CK26" s="1">
        <v>61.94</v>
      </c>
      <c r="CL26" s="1">
        <v>60.26</v>
      </c>
      <c r="CM26" s="1">
        <v>58.83</v>
      </c>
      <c r="CN26" s="1">
        <v>57.6</v>
      </c>
      <c r="CO26" s="1">
        <v>56.56</v>
      </c>
      <c r="CP26" s="1">
        <v>99.99</v>
      </c>
      <c r="CQ26" s="5">
        <v>90.46</v>
      </c>
      <c r="CR26" s="5">
        <v>82.56</v>
      </c>
      <c r="CS26" s="1">
        <v>75.930000000000007</v>
      </c>
      <c r="CT26" s="1">
        <v>70.28</v>
      </c>
      <c r="CU26" s="1">
        <v>65.42</v>
      </c>
      <c r="CV26" s="1">
        <v>61.2</v>
      </c>
      <c r="CW26" s="1">
        <v>57.51</v>
      </c>
      <c r="CX26" s="1">
        <v>54.25</v>
      </c>
      <c r="CY26" s="1">
        <v>51.36</v>
      </c>
      <c r="CZ26" s="1">
        <v>48.78</v>
      </c>
      <c r="DA26" s="1">
        <v>46.2</v>
      </c>
      <c r="DB26" s="1">
        <v>43.85</v>
      </c>
      <c r="DC26" s="1">
        <v>41.72</v>
      </c>
      <c r="DD26" s="1">
        <v>39.76</v>
      </c>
      <c r="DE26">
        <v>79.239999999999995</v>
      </c>
      <c r="DF26">
        <v>75.73</v>
      </c>
      <c r="DG26" s="1">
        <v>72.8</v>
      </c>
      <c r="DH26">
        <v>70.39</v>
      </c>
      <c r="DI26">
        <v>68.430000000000007</v>
      </c>
      <c r="DJ26" s="1">
        <v>66.849999999999994</v>
      </c>
      <c r="DK26" s="1">
        <v>65.349999999999994</v>
      </c>
      <c r="DL26" s="1">
        <v>64.17</v>
      </c>
      <c r="DM26" s="1">
        <v>63.27</v>
      </c>
      <c r="DN26" s="1">
        <v>62.62</v>
      </c>
      <c r="DO26" s="1">
        <v>62.2</v>
      </c>
      <c r="DP26" s="1">
        <v>8</v>
      </c>
      <c r="DQ26" s="1">
        <v>8</v>
      </c>
      <c r="DR26" s="1">
        <v>8</v>
      </c>
      <c r="DS26" s="1">
        <v>8.06</v>
      </c>
      <c r="DT26" s="1">
        <v>9.31</v>
      </c>
      <c r="DU26" s="1">
        <v>3.25</v>
      </c>
      <c r="DV26" s="1">
        <v>3.43</v>
      </c>
      <c r="DW26" s="1">
        <v>3.61</v>
      </c>
      <c r="DX26" s="1">
        <v>3.8</v>
      </c>
      <c r="DY26" s="1">
        <v>3.98</v>
      </c>
      <c r="DZ26" s="1">
        <v>4.16</v>
      </c>
      <c r="EA26" s="1">
        <v>4.42</v>
      </c>
      <c r="EB26" s="1">
        <v>4.6900000000000004</v>
      </c>
      <c r="EC26" s="1">
        <v>4.95</v>
      </c>
      <c r="ED26" s="1">
        <v>5.22</v>
      </c>
      <c r="EE26" s="1">
        <v>5.48</v>
      </c>
      <c r="EF26" s="1">
        <v>5.86</v>
      </c>
      <c r="EG26" s="1">
        <v>6.24</v>
      </c>
      <c r="EH26" s="1">
        <v>6.62</v>
      </c>
      <c r="EI26" s="1">
        <v>7</v>
      </c>
      <c r="EJ26" s="1">
        <v>7.38</v>
      </c>
      <c r="EK26" s="1">
        <v>7.84</v>
      </c>
      <c r="EL26" s="1">
        <v>8.33</v>
      </c>
      <c r="EM26" s="1">
        <v>8.86</v>
      </c>
      <c r="EN26" s="1">
        <v>9.41</v>
      </c>
      <c r="EO26" s="1">
        <v>10</v>
      </c>
      <c r="EP26" s="1">
        <v>10.61</v>
      </c>
      <c r="EQ26" s="10">
        <v>0</v>
      </c>
      <c r="ER26" s="10">
        <v>0</v>
      </c>
      <c r="ES26" s="10">
        <v>0</v>
      </c>
      <c r="ET26" s="10">
        <v>0</v>
      </c>
      <c r="EU26" s="1">
        <v>0</v>
      </c>
      <c r="EV26" s="10">
        <v>0</v>
      </c>
      <c r="EW26" s="10">
        <v>0</v>
      </c>
      <c r="EX26" s="10">
        <v>0</v>
      </c>
      <c r="EY26" s="10">
        <v>0</v>
      </c>
      <c r="EZ26" s="10">
        <v>0</v>
      </c>
      <c r="FA26" s="10">
        <v>0</v>
      </c>
      <c r="FB26" s="10">
        <v>0</v>
      </c>
      <c r="FC26" s="10">
        <v>0</v>
      </c>
      <c r="FD26" s="10">
        <v>0</v>
      </c>
      <c r="FE26" s="1">
        <v>4.7</v>
      </c>
      <c r="FF26" s="1">
        <v>4.8600000000000003</v>
      </c>
      <c r="FG26" s="1">
        <v>5.03</v>
      </c>
      <c r="FH26" s="1">
        <v>5.19</v>
      </c>
      <c r="FI26" s="1">
        <v>5.36</v>
      </c>
      <c r="FJ26" s="1">
        <v>5.52</v>
      </c>
      <c r="FK26" s="1">
        <v>5.77</v>
      </c>
      <c r="FL26" s="1">
        <v>6.01</v>
      </c>
      <c r="FM26" s="1">
        <v>6.26</v>
      </c>
      <c r="FN26" s="1">
        <v>6.5</v>
      </c>
      <c r="FO26" s="1">
        <v>6.75</v>
      </c>
      <c r="FP26" s="1">
        <v>7.1</v>
      </c>
      <c r="FQ26" s="1">
        <v>7.44</v>
      </c>
      <c r="FR26" s="1">
        <v>7.79</v>
      </c>
      <c r="FS26" s="1">
        <v>8.1300000000000008</v>
      </c>
      <c r="FT26" s="1">
        <v>8.48</v>
      </c>
      <c r="FU26" s="9">
        <v>1.458</v>
      </c>
      <c r="FV26">
        <v>1.514</v>
      </c>
      <c r="FW26" s="1">
        <v>0</v>
      </c>
      <c r="FX26" s="1">
        <v>0</v>
      </c>
      <c r="FY26" s="1">
        <v>0</v>
      </c>
      <c r="FZ26" s="9">
        <v>1.7190000000000001</v>
      </c>
      <c r="GA26">
        <v>1.772</v>
      </c>
      <c r="GB26" s="1">
        <v>0</v>
      </c>
      <c r="GC26" s="9">
        <v>1.89</v>
      </c>
      <c r="GD26" s="1">
        <v>0</v>
      </c>
      <c r="GE26" s="9">
        <v>2.0310000000000001</v>
      </c>
      <c r="GF26" s="9">
        <v>2.113</v>
      </c>
      <c r="GG26" s="1">
        <v>0</v>
      </c>
      <c r="GH26" s="1">
        <v>0</v>
      </c>
      <c r="GI26" s="9">
        <v>2.4239999999999999</v>
      </c>
      <c r="GJ26" s="9">
        <v>2.552</v>
      </c>
      <c r="GK26">
        <v>2.6989999999999998</v>
      </c>
      <c r="GL26" s="1">
        <v>0</v>
      </c>
      <c r="GM26" s="1">
        <v>0</v>
      </c>
      <c r="GN26" s="1">
        <v>0</v>
      </c>
      <c r="GO26" s="10">
        <v>0</v>
      </c>
      <c r="GP26" s="1">
        <v>0</v>
      </c>
      <c r="GQ26" s="1">
        <v>0</v>
      </c>
      <c r="GR26" s="1">
        <v>0</v>
      </c>
      <c r="GS26" s="1">
        <v>0</v>
      </c>
      <c r="GT26" s="10">
        <v>0</v>
      </c>
      <c r="GU26" s="1">
        <v>0</v>
      </c>
      <c r="GV26" s="1">
        <v>0</v>
      </c>
      <c r="GW26" s="1">
        <v>0</v>
      </c>
      <c r="GX26" s="1">
        <v>0</v>
      </c>
      <c r="GY26" s="10">
        <v>0</v>
      </c>
      <c r="GZ26" s="1">
        <v>1.92</v>
      </c>
      <c r="HA26" s="1">
        <v>2.19</v>
      </c>
      <c r="HB26" s="1">
        <v>2.48</v>
      </c>
      <c r="HC26" s="1">
        <v>2.81</v>
      </c>
      <c r="HD26" s="1">
        <v>3.17</v>
      </c>
      <c r="HE26" s="1">
        <v>3.57</v>
      </c>
      <c r="HF26" s="1">
        <v>4.0199999999999996</v>
      </c>
      <c r="HG26" s="1">
        <v>4.5199999999999996</v>
      </c>
      <c r="HH26" s="1">
        <v>5.09</v>
      </c>
      <c r="HI26" s="1">
        <v>5.71</v>
      </c>
      <c r="HJ26" s="1">
        <v>6.41</v>
      </c>
      <c r="HK26" s="1">
        <v>7.18</v>
      </c>
      <c r="HL26" s="1">
        <v>8.0299999999999994</v>
      </c>
      <c r="HM26" s="1">
        <v>8.9600000000000009</v>
      </c>
      <c r="HN26" s="1">
        <v>9.9700000000000006</v>
      </c>
      <c r="HO26" s="1">
        <v>11.06</v>
      </c>
      <c r="HP26" s="1">
        <v>53.87</v>
      </c>
      <c r="HQ26">
        <v>39.56</v>
      </c>
      <c r="HR26" s="1">
        <v>32.659999999999997</v>
      </c>
      <c r="HS26" s="1">
        <v>28.77</v>
      </c>
      <c r="HT26" s="1">
        <v>26.43</v>
      </c>
      <c r="HU26" s="1">
        <v>24.8</v>
      </c>
      <c r="HV26" s="1">
        <v>27.54</v>
      </c>
      <c r="HW26" s="1">
        <v>103.21</v>
      </c>
      <c r="HX26" s="1">
        <v>68.849999999999994</v>
      </c>
      <c r="HY26" s="1">
        <v>52.8</v>
      </c>
      <c r="HZ26" s="1">
        <v>43</v>
      </c>
      <c r="IA26" s="1">
        <v>37.340000000000003</v>
      </c>
      <c r="IB26" s="1">
        <v>34.200000000000003</v>
      </c>
      <c r="IC26" s="1">
        <v>699.4</v>
      </c>
      <c r="ID26" s="1">
        <v>586.4</v>
      </c>
      <c r="IE26" s="1">
        <v>503.9</v>
      </c>
      <c r="IF26" s="1">
        <v>429.4</v>
      </c>
      <c r="IG26" s="1">
        <v>374.5</v>
      </c>
      <c r="IH26" s="1">
        <v>0</v>
      </c>
      <c r="II26" s="1">
        <v>0</v>
      </c>
      <c r="IJ26" s="1">
        <v>66.599999999999994</v>
      </c>
      <c r="IK26" s="1">
        <v>58.82</v>
      </c>
      <c r="IL26" s="1">
        <v>0</v>
      </c>
      <c r="IM26" s="1">
        <v>0</v>
      </c>
      <c r="IN26" s="1">
        <v>0</v>
      </c>
      <c r="IO26" s="1">
        <v>0</v>
      </c>
      <c r="IP26" s="1">
        <v>0</v>
      </c>
      <c r="IQ26" s="1">
        <v>0</v>
      </c>
      <c r="IR26" s="1">
        <v>0</v>
      </c>
      <c r="IS26" s="1">
        <v>0</v>
      </c>
      <c r="IT26" s="1">
        <v>0</v>
      </c>
      <c r="IU26" s="1">
        <v>0</v>
      </c>
      <c r="IV26" s="1">
        <v>0</v>
      </c>
      <c r="IW26" s="1">
        <v>30.23</v>
      </c>
      <c r="IX26" s="1">
        <v>0</v>
      </c>
      <c r="IY26" s="1">
        <v>0</v>
      </c>
      <c r="IZ26" s="1">
        <v>0</v>
      </c>
      <c r="JA26" s="1">
        <v>0</v>
      </c>
      <c r="JB26" s="1">
        <v>79</v>
      </c>
      <c r="JC26" s="1">
        <v>60.46</v>
      </c>
      <c r="JD26" s="1">
        <v>5.64</v>
      </c>
      <c r="JE26" s="1">
        <v>5.73</v>
      </c>
      <c r="JF26" s="1">
        <v>5.84</v>
      </c>
      <c r="JG26" s="1">
        <v>5.95</v>
      </c>
      <c r="JH26" s="1">
        <v>6.07</v>
      </c>
      <c r="JI26" s="1">
        <v>6.2</v>
      </c>
      <c r="JJ26" s="1">
        <v>25.97</v>
      </c>
      <c r="JK26" s="1">
        <v>31.08</v>
      </c>
      <c r="JL26" s="1">
        <v>36.19</v>
      </c>
      <c r="JM26" s="1">
        <v>41.32</v>
      </c>
      <c r="JN26" s="1">
        <v>46.5</v>
      </c>
      <c r="JO26" s="1">
        <v>51.74</v>
      </c>
      <c r="JP26" s="1">
        <v>92.48</v>
      </c>
      <c r="JQ26" s="1">
        <v>75.56</v>
      </c>
      <c r="JR26" s="1">
        <v>64.66</v>
      </c>
      <c r="JS26" s="1">
        <v>56.9</v>
      </c>
      <c r="JT26" s="1">
        <v>50.74</v>
      </c>
      <c r="JU26" s="1">
        <v>46.16</v>
      </c>
      <c r="JV26" s="1">
        <v>42.71</v>
      </c>
      <c r="JW26" s="1">
        <v>91.73</v>
      </c>
      <c r="JX26" s="1">
        <v>74.81</v>
      </c>
      <c r="JY26" s="1">
        <v>63.91</v>
      </c>
      <c r="JZ26" s="1">
        <v>56.15</v>
      </c>
      <c r="KA26" s="1">
        <v>49.99</v>
      </c>
      <c r="KB26" s="1">
        <v>45.41</v>
      </c>
      <c r="KC26" s="1">
        <v>41.96</v>
      </c>
    </row>
    <row r="27" spans="1:289" x14ac:dyDescent="0.15">
      <c r="A27" s="8">
        <v>35</v>
      </c>
      <c r="B27" s="1">
        <v>24.33</v>
      </c>
      <c r="C27" s="1">
        <v>99.82</v>
      </c>
      <c r="D27" s="1">
        <v>90.33</v>
      </c>
      <c r="E27" s="1">
        <v>82.49</v>
      </c>
      <c r="F27" s="1">
        <v>75.900000000000006</v>
      </c>
      <c r="G27" s="1">
        <v>70.3</v>
      </c>
      <c r="H27" s="1">
        <v>65.5</v>
      </c>
      <c r="I27" s="1">
        <v>61.34</v>
      </c>
      <c r="J27" s="1">
        <v>57.71</v>
      </c>
      <c r="K27" s="1">
        <v>54.52</v>
      </c>
      <c r="L27" s="1">
        <v>51.7</v>
      </c>
      <c r="M27" s="1">
        <v>49.2</v>
      </c>
      <c r="N27" s="1">
        <v>46.71</v>
      </c>
      <c r="O27" s="1">
        <v>44.46</v>
      </c>
      <c r="P27" s="1">
        <v>42.43</v>
      </c>
      <c r="Q27" s="1">
        <v>40.590000000000003</v>
      </c>
      <c r="R27" s="1">
        <v>38.93</v>
      </c>
      <c r="S27" s="1">
        <v>37.409999999999997</v>
      </c>
      <c r="T27" s="1">
        <v>36.03</v>
      </c>
      <c r="U27" s="1">
        <v>34.78</v>
      </c>
      <c r="V27" s="1">
        <v>33.630000000000003</v>
      </c>
      <c r="W27" s="1">
        <v>32.590000000000003</v>
      </c>
      <c r="X27" s="1">
        <v>31.64</v>
      </c>
      <c r="Y27" s="1">
        <v>30.78</v>
      </c>
      <c r="Z27" s="1">
        <v>29.99</v>
      </c>
      <c r="AA27" s="1">
        <v>29.28</v>
      </c>
      <c r="AB27" s="1">
        <v>28.63</v>
      </c>
      <c r="AC27" s="1">
        <v>28.05</v>
      </c>
      <c r="AD27" s="1">
        <v>27.52</v>
      </c>
      <c r="AE27" s="1">
        <v>27.05</v>
      </c>
      <c r="AF27" s="1">
        <v>26.62</v>
      </c>
      <c r="AG27" s="1">
        <v>26.25</v>
      </c>
      <c r="AH27" s="10">
        <v>0</v>
      </c>
      <c r="AI27" s="10">
        <v>0</v>
      </c>
      <c r="AJ27" s="1">
        <v>0</v>
      </c>
      <c r="AK27" s="10">
        <v>0</v>
      </c>
      <c r="AL27" s="10">
        <v>0</v>
      </c>
      <c r="AM27" s="10">
        <v>0</v>
      </c>
      <c r="AN27" s="10">
        <v>0</v>
      </c>
      <c r="AO27" s="10">
        <v>0</v>
      </c>
      <c r="AP27" s="10">
        <v>0</v>
      </c>
      <c r="AQ27" s="10">
        <v>0</v>
      </c>
      <c r="AR27" s="10">
        <v>0</v>
      </c>
      <c r="AS27" s="10">
        <v>0</v>
      </c>
      <c r="AT27" s="10">
        <v>0</v>
      </c>
      <c r="AU27" s="10">
        <v>0</v>
      </c>
      <c r="AV27" s="10">
        <v>0</v>
      </c>
      <c r="AW27" s="1">
        <v>64.42</v>
      </c>
      <c r="AX27" s="1">
        <v>56.71</v>
      </c>
      <c r="AY27" s="1">
        <v>50.75</v>
      </c>
      <c r="AZ27" s="1">
        <v>46.37</v>
      </c>
      <c r="BA27" s="1">
        <v>43.09</v>
      </c>
      <c r="BB27" s="6">
        <v>105.26</v>
      </c>
      <c r="BC27" s="6">
        <v>95.71</v>
      </c>
      <c r="BD27" s="6">
        <v>87.85</v>
      </c>
      <c r="BE27" s="6">
        <v>81.31</v>
      </c>
      <c r="BF27" s="6">
        <v>75.790000000000006</v>
      </c>
      <c r="BG27" s="6">
        <v>71.09</v>
      </c>
      <c r="BH27" s="6">
        <v>67.069999999999993</v>
      </c>
      <c r="BI27" s="6">
        <v>63.62</v>
      </c>
      <c r="BJ27" s="6">
        <v>60.63</v>
      </c>
      <c r="BK27" s="6">
        <v>58.04</v>
      </c>
      <c r="BL27" s="6">
        <v>55.8</v>
      </c>
      <c r="BM27" s="6">
        <v>53.57</v>
      </c>
      <c r="BN27" s="6">
        <v>51.63</v>
      </c>
      <c r="BO27" s="6">
        <v>49.93</v>
      </c>
      <c r="BP27" s="6">
        <v>48.45</v>
      </c>
      <c r="BQ27" s="1">
        <v>108.3</v>
      </c>
      <c r="BR27" s="1">
        <v>75.180000000000007</v>
      </c>
      <c r="BS27" s="1">
        <v>60.99</v>
      </c>
      <c r="BT27" s="1">
        <v>53.51</v>
      </c>
      <c r="BU27" s="1">
        <v>50.06</v>
      </c>
      <c r="BV27" s="1">
        <v>48.55</v>
      </c>
      <c r="BW27" s="1">
        <v>106.28</v>
      </c>
      <c r="BX27" s="1">
        <v>72.900000000000006</v>
      </c>
      <c r="BY27" s="1">
        <v>58</v>
      </c>
      <c r="BZ27" s="1">
        <v>49.65</v>
      </c>
      <c r="CA27" s="6">
        <v>108.13</v>
      </c>
      <c r="CB27" s="6">
        <v>99.08</v>
      </c>
      <c r="CC27" s="6">
        <v>91.69</v>
      </c>
      <c r="CD27" s="6">
        <v>85.54</v>
      </c>
      <c r="CE27" s="6">
        <v>80.400000000000006</v>
      </c>
      <c r="CF27" s="6">
        <v>76.03</v>
      </c>
      <c r="CG27" s="6">
        <v>72.53</v>
      </c>
      <c r="CH27" s="1">
        <v>69.540000000000006</v>
      </c>
      <c r="CI27" s="1">
        <v>67.010000000000005</v>
      </c>
      <c r="CJ27" s="1">
        <v>64.819999999999993</v>
      </c>
      <c r="CK27" s="1">
        <v>62.97</v>
      </c>
      <c r="CL27" s="1">
        <v>61.42</v>
      </c>
      <c r="CM27" s="1">
        <v>60.09</v>
      </c>
      <c r="CN27" s="1">
        <v>58.99</v>
      </c>
      <c r="CO27" s="1">
        <v>58.06</v>
      </c>
      <c r="CP27" s="1">
        <v>100.06</v>
      </c>
      <c r="CQ27" s="5">
        <v>90.54</v>
      </c>
      <c r="CR27" s="5">
        <v>82.65</v>
      </c>
      <c r="CS27" s="1">
        <v>76.02</v>
      </c>
      <c r="CT27" s="1">
        <v>70.37</v>
      </c>
      <c r="CU27" s="1">
        <v>65.52</v>
      </c>
      <c r="CV27" s="1">
        <v>61.3</v>
      </c>
      <c r="CW27" s="1">
        <v>57.61</v>
      </c>
      <c r="CX27" s="1">
        <v>54.36</v>
      </c>
      <c r="CY27" s="1">
        <v>51.48</v>
      </c>
      <c r="CZ27" s="1">
        <v>48.91</v>
      </c>
      <c r="DA27" s="1">
        <v>46.33</v>
      </c>
      <c r="DB27" s="1">
        <v>43.99</v>
      </c>
      <c r="DC27" s="1">
        <v>41.86</v>
      </c>
      <c r="DD27" s="1">
        <v>39.909999999999997</v>
      </c>
      <c r="DE27">
        <v>80.66</v>
      </c>
      <c r="DF27">
        <v>77.25</v>
      </c>
      <c r="DG27">
        <v>74.45</v>
      </c>
      <c r="DH27">
        <v>72.17</v>
      </c>
      <c r="DI27">
        <v>70.33</v>
      </c>
      <c r="DJ27" s="1">
        <v>68.900000000000006</v>
      </c>
      <c r="DK27" s="1">
        <v>67.540000000000006</v>
      </c>
      <c r="DL27" s="1">
        <v>66.5</v>
      </c>
      <c r="DM27" s="1">
        <v>65.739999999999995</v>
      </c>
      <c r="DN27" s="1">
        <v>65.23</v>
      </c>
      <c r="DO27" s="1">
        <v>64.930000000000007</v>
      </c>
      <c r="DP27" s="1">
        <v>8</v>
      </c>
      <c r="DQ27" s="1">
        <v>8</v>
      </c>
      <c r="DR27" s="1">
        <v>8</v>
      </c>
      <c r="DS27" s="1">
        <v>8.4499999999999993</v>
      </c>
      <c r="DT27" s="1">
        <v>9.77</v>
      </c>
      <c r="DU27" s="1">
        <v>3.36</v>
      </c>
      <c r="DV27" s="1">
        <v>3.56</v>
      </c>
      <c r="DW27" s="1">
        <v>3.77</v>
      </c>
      <c r="DX27" s="1">
        <v>3.97</v>
      </c>
      <c r="DY27" s="1">
        <v>4.18</v>
      </c>
      <c r="DZ27" s="1">
        <v>4.38</v>
      </c>
      <c r="EA27" s="1">
        <v>4.68</v>
      </c>
      <c r="EB27" s="1">
        <v>4.97</v>
      </c>
      <c r="EC27" s="1">
        <v>5.27</v>
      </c>
      <c r="ED27" s="1">
        <v>5.56</v>
      </c>
      <c r="EE27" s="1">
        <v>5.86</v>
      </c>
      <c r="EF27" s="1">
        <v>6.29</v>
      </c>
      <c r="EG27" s="1">
        <v>6.71</v>
      </c>
      <c r="EH27" s="1">
        <v>7.14</v>
      </c>
      <c r="EI27" s="1">
        <v>7.56</v>
      </c>
      <c r="EJ27" s="1">
        <v>7.99</v>
      </c>
      <c r="EK27" s="1">
        <v>8.5</v>
      </c>
      <c r="EL27" s="1">
        <v>9.0500000000000007</v>
      </c>
      <c r="EM27" s="1">
        <v>9.6300000000000008</v>
      </c>
      <c r="EN27" s="1">
        <v>10.25</v>
      </c>
      <c r="EO27" s="1">
        <v>10.89</v>
      </c>
      <c r="EP27" s="10">
        <v>0</v>
      </c>
      <c r="EQ27" s="10">
        <v>0</v>
      </c>
      <c r="ER27" s="10">
        <v>0</v>
      </c>
      <c r="ES27" s="10">
        <v>0</v>
      </c>
      <c r="ET27" s="1">
        <v>0</v>
      </c>
      <c r="EU27" s="10">
        <v>0</v>
      </c>
      <c r="EV27" s="10">
        <v>0</v>
      </c>
      <c r="EW27" s="10">
        <v>0</v>
      </c>
      <c r="EX27" s="10">
        <v>0</v>
      </c>
      <c r="EY27" s="10">
        <v>0</v>
      </c>
      <c r="EZ27" s="10">
        <v>0</v>
      </c>
      <c r="FA27" s="10">
        <v>0</v>
      </c>
      <c r="FB27" s="10">
        <v>0</v>
      </c>
      <c r="FC27" s="10">
        <v>0</v>
      </c>
      <c r="FD27" s="10">
        <v>0</v>
      </c>
      <c r="FE27" s="1">
        <v>4.96</v>
      </c>
      <c r="FF27" s="1">
        <v>5.15</v>
      </c>
      <c r="FG27" s="1">
        <v>5.34</v>
      </c>
      <c r="FH27" s="1">
        <v>5.52</v>
      </c>
      <c r="FI27" s="1">
        <v>5.71</v>
      </c>
      <c r="FJ27" s="1">
        <v>5.9</v>
      </c>
      <c r="FK27" s="1">
        <v>6.18</v>
      </c>
      <c r="FL27" s="1">
        <v>6.46</v>
      </c>
      <c r="FM27" s="1">
        <v>6.74</v>
      </c>
      <c r="FN27" s="1">
        <v>7.02</v>
      </c>
      <c r="FO27" s="1">
        <v>7.3</v>
      </c>
      <c r="FP27" s="1">
        <v>7.68</v>
      </c>
      <c r="FQ27" s="1">
        <v>8.07</v>
      </c>
      <c r="FR27" s="1">
        <v>8.4499999999999993</v>
      </c>
      <c r="FS27" s="1">
        <v>8.84</v>
      </c>
      <c r="FT27" s="1">
        <v>9.2200000000000006</v>
      </c>
      <c r="FU27" s="9">
        <v>1.5629999999999999</v>
      </c>
      <c r="FV27" s="1">
        <v>0</v>
      </c>
      <c r="FW27" s="1">
        <v>0</v>
      </c>
      <c r="FX27" s="1">
        <v>0</v>
      </c>
      <c r="FY27" s="1">
        <v>0</v>
      </c>
      <c r="FZ27" s="9">
        <v>1.823</v>
      </c>
      <c r="GA27" s="1">
        <v>0</v>
      </c>
      <c r="GB27" s="1">
        <v>0</v>
      </c>
      <c r="GC27" s="9">
        <v>2.0230000000000001</v>
      </c>
      <c r="GD27" s="1">
        <v>0</v>
      </c>
      <c r="GE27" s="9">
        <v>2.1880000000000002</v>
      </c>
      <c r="GF27" s="9">
        <v>2.2829999999999999</v>
      </c>
      <c r="GG27" s="1">
        <v>0</v>
      </c>
      <c r="GH27" s="1">
        <v>0</v>
      </c>
      <c r="GI27" s="9">
        <v>2.6240000000000001</v>
      </c>
      <c r="GJ27" s="9">
        <v>2.76</v>
      </c>
      <c r="GK27" s="1">
        <v>0</v>
      </c>
      <c r="GL27" s="1">
        <v>0</v>
      </c>
      <c r="GM27" s="1">
        <v>0</v>
      </c>
      <c r="GN27" s="1">
        <v>0</v>
      </c>
      <c r="GO27" s="1">
        <v>0</v>
      </c>
      <c r="GP27" s="1">
        <v>0</v>
      </c>
      <c r="GQ27" s="1">
        <v>0</v>
      </c>
      <c r="GR27" s="1">
        <v>0</v>
      </c>
      <c r="GS27" s="1">
        <v>0</v>
      </c>
      <c r="GT27" s="10">
        <v>0</v>
      </c>
      <c r="GU27" s="1">
        <v>0</v>
      </c>
      <c r="GV27" s="1">
        <v>0</v>
      </c>
      <c r="GW27" s="1">
        <v>0</v>
      </c>
      <c r="GX27" s="1">
        <v>0</v>
      </c>
      <c r="GY27" s="1">
        <v>0</v>
      </c>
      <c r="GZ27" s="1">
        <v>2.09</v>
      </c>
      <c r="HA27" s="1">
        <v>2.38</v>
      </c>
      <c r="HB27" s="1">
        <v>2.71</v>
      </c>
      <c r="HC27" s="1">
        <v>3.08</v>
      </c>
      <c r="HD27" s="1">
        <v>3.48</v>
      </c>
      <c r="HE27" s="1">
        <v>3.94</v>
      </c>
      <c r="HF27" s="1">
        <v>4.45</v>
      </c>
      <c r="HG27" s="1">
        <v>5.01</v>
      </c>
      <c r="HH27" s="1">
        <v>5.65</v>
      </c>
      <c r="HI27" s="1">
        <v>6.36</v>
      </c>
      <c r="HJ27" s="1">
        <v>7.14</v>
      </c>
      <c r="HK27" s="1">
        <v>8</v>
      </c>
      <c r="HL27" s="1">
        <v>8.9499999999999993</v>
      </c>
      <c r="HM27" s="1">
        <v>9.9700000000000006</v>
      </c>
      <c r="HN27" s="1">
        <v>11.08</v>
      </c>
      <c r="HO27" s="1">
        <v>12.26</v>
      </c>
      <c r="HP27" s="1">
        <v>55.13</v>
      </c>
      <c r="HQ27">
        <v>40.520000000000003</v>
      </c>
      <c r="HR27" s="1">
        <v>33.479999999999997</v>
      </c>
      <c r="HS27" s="1">
        <v>29.54</v>
      </c>
      <c r="HT27" s="1">
        <v>27.18</v>
      </c>
      <c r="HU27" s="1">
        <v>25.77</v>
      </c>
      <c r="HV27" s="1">
        <v>28.63</v>
      </c>
      <c r="HW27" s="1">
        <v>103.4</v>
      </c>
      <c r="HX27" s="1">
        <v>69.13</v>
      </c>
      <c r="HY27" s="1">
        <v>53.2</v>
      </c>
      <c r="HZ27" s="1">
        <v>43.56</v>
      </c>
      <c r="IA27" s="1">
        <v>38.090000000000003</v>
      </c>
      <c r="IB27" s="1">
        <v>35.119999999999997</v>
      </c>
      <c r="IC27" s="1">
        <v>699.4</v>
      </c>
      <c r="ID27" s="1">
        <v>586.4</v>
      </c>
      <c r="IE27" s="1">
        <v>503.9</v>
      </c>
      <c r="IF27" s="1">
        <v>429.4</v>
      </c>
      <c r="IG27" s="1">
        <v>374.5</v>
      </c>
      <c r="IH27" s="1">
        <v>0</v>
      </c>
      <c r="II27" s="1">
        <v>0</v>
      </c>
      <c r="IJ27" s="1">
        <v>66.92</v>
      </c>
      <c r="IK27" s="1">
        <v>59.21</v>
      </c>
      <c r="IL27" s="1">
        <v>0</v>
      </c>
      <c r="IM27" s="1">
        <v>0</v>
      </c>
      <c r="IN27" s="1">
        <v>0</v>
      </c>
      <c r="IO27" s="1">
        <v>0</v>
      </c>
      <c r="IP27" s="1">
        <v>0</v>
      </c>
      <c r="IQ27" s="1">
        <v>0</v>
      </c>
      <c r="IR27" s="1">
        <v>0</v>
      </c>
      <c r="IS27" s="1">
        <v>0</v>
      </c>
      <c r="IT27" s="1">
        <v>0</v>
      </c>
      <c r="IU27" s="1">
        <v>0</v>
      </c>
      <c r="IV27" s="1">
        <v>31.25</v>
      </c>
      <c r="IW27" s="1">
        <v>0</v>
      </c>
      <c r="IX27" s="1">
        <v>0</v>
      </c>
      <c r="IY27" s="1">
        <v>0</v>
      </c>
      <c r="IZ27" s="1">
        <v>0</v>
      </c>
      <c r="JA27" s="1">
        <v>0</v>
      </c>
      <c r="JB27" s="1">
        <v>79.099999999999994</v>
      </c>
      <c r="JC27" s="1">
        <v>60.67</v>
      </c>
      <c r="JD27" s="1">
        <v>5.83</v>
      </c>
      <c r="JE27" s="1">
        <v>5.94</v>
      </c>
      <c r="JF27" s="1">
        <v>6.05</v>
      </c>
      <c r="JG27" s="1">
        <v>6.18</v>
      </c>
      <c r="JH27" s="1">
        <v>6.32</v>
      </c>
      <c r="JI27" s="1">
        <v>6.46</v>
      </c>
      <c r="JJ27" s="1">
        <v>26.85</v>
      </c>
      <c r="JK27" s="1">
        <v>32.18</v>
      </c>
      <c r="JL27" s="1">
        <v>37.520000000000003</v>
      </c>
      <c r="JM27" s="1">
        <v>42.92</v>
      </c>
      <c r="JN27" s="1">
        <v>48.38</v>
      </c>
      <c r="JO27" s="1">
        <v>53.93</v>
      </c>
      <c r="JP27" s="1">
        <v>92.66</v>
      </c>
      <c r="JQ27" s="1">
        <v>75.78</v>
      </c>
      <c r="JR27" s="1">
        <v>64.95</v>
      </c>
      <c r="JS27" s="1">
        <v>57.26</v>
      </c>
      <c r="JT27" s="1">
        <v>51.18</v>
      </c>
      <c r="JU27" s="1">
        <v>46.67</v>
      </c>
      <c r="JV27" s="1">
        <v>43.29</v>
      </c>
      <c r="JW27" s="1">
        <v>91.91</v>
      </c>
      <c r="JX27" s="1">
        <v>75.03</v>
      </c>
      <c r="JY27" s="1">
        <v>64.2</v>
      </c>
      <c r="JZ27" s="1">
        <v>56.51</v>
      </c>
      <c r="KA27" s="1">
        <v>50.43</v>
      </c>
      <c r="KB27" s="1">
        <v>45.92</v>
      </c>
      <c r="KC27" s="1">
        <v>42.54</v>
      </c>
    </row>
    <row r="28" spans="1:289" x14ac:dyDescent="0.15">
      <c r="A28" s="8">
        <v>36</v>
      </c>
      <c r="B28" s="1">
        <v>25.22</v>
      </c>
      <c r="C28" s="1">
        <v>99.93</v>
      </c>
      <c r="D28" s="1">
        <v>90.45</v>
      </c>
      <c r="E28" s="1">
        <v>82.61</v>
      </c>
      <c r="F28" s="1">
        <v>76.040000000000006</v>
      </c>
      <c r="G28" s="1">
        <v>70.45</v>
      </c>
      <c r="H28" s="1">
        <v>65.650000000000006</v>
      </c>
      <c r="I28" s="1">
        <v>61.51</v>
      </c>
      <c r="J28" s="1">
        <v>57.89</v>
      </c>
      <c r="K28" s="1">
        <v>54.71</v>
      </c>
      <c r="L28" s="1">
        <v>51.91</v>
      </c>
      <c r="M28" s="1">
        <v>49.43</v>
      </c>
      <c r="N28" s="1">
        <v>46.95</v>
      </c>
      <c r="O28" s="1">
        <v>44.73</v>
      </c>
      <c r="P28" s="1">
        <v>42.71</v>
      </c>
      <c r="Q28" s="1">
        <v>40.9</v>
      </c>
      <c r="R28" s="1">
        <v>39.25</v>
      </c>
      <c r="S28" s="1">
        <v>37.75</v>
      </c>
      <c r="T28" s="1">
        <v>36.39</v>
      </c>
      <c r="U28" s="1">
        <v>35.159999999999997</v>
      </c>
      <c r="V28" s="1">
        <v>34.04</v>
      </c>
      <c r="W28" s="1">
        <v>33.020000000000003</v>
      </c>
      <c r="X28" s="1">
        <v>32.090000000000003</v>
      </c>
      <c r="Y28" s="1">
        <v>31.25</v>
      </c>
      <c r="Z28" s="1">
        <v>30.49</v>
      </c>
      <c r="AA28" s="1">
        <v>29.8</v>
      </c>
      <c r="AB28" s="1">
        <v>29.17</v>
      </c>
      <c r="AC28" s="1">
        <v>28.61</v>
      </c>
      <c r="AD28" s="1">
        <v>28.1</v>
      </c>
      <c r="AE28" s="1">
        <v>27.65</v>
      </c>
      <c r="AF28" s="10">
        <v>27.25</v>
      </c>
      <c r="AG28" s="10">
        <v>0</v>
      </c>
      <c r="AH28" s="10">
        <v>0</v>
      </c>
      <c r="AI28" s="1">
        <v>0</v>
      </c>
      <c r="AJ28" s="10">
        <v>0</v>
      </c>
      <c r="AK28" s="10">
        <v>0</v>
      </c>
      <c r="AL28" s="10">
        <v>0</v>
      </c>
      <c r="AM28" s="10">
        <v>0</v>
      </c>
      <c r="AN28" s="10">
        <v>0</v>
      </c>
      <c r="AO28" s="10">
        <v>0</v>
      </c>
      <c r="AP28" s="10">
        <v>0</v>
      </c>
      <c r="AQ28" s="10">
        <v>0</v>
      </c>
      <c r="AR28" s="10">
        <v>0</v>
      </c>
      <c r="AS28" s="10">
        <v>0</v>
      </c>
      <c r="AT28" s="10">
        <v>0</v>
      </c>
      <c r="AU28" s="10">
        <v>0</v>
      </c>
      <c r="AV28" s="10">
        <v>0</v>
      </c>
      <c r="AW28" s="1">
        <v>64.78</v>
      </c>
      <c r="AX28" s="1">
        <v>57.15</v>
      </c>
      <c r="AY28" s="1">
        <v>51.29</v>
      </c>
      <c r="AZ28" s="1">
        <v>46.96</v>
      </c>
      <c r="BA28" s="1">
        <v>43.76</v>
      </c>
      <c r="BB28" s="6">
        <v>105.6</v>
      </c>
      <c r="BC28" s="6">
        <v>96.08</v>
      </c>
      <c r="BD28" s="6">
        <v>88.26</v>
      </c>
      <c r="BE28" s="6">
        <v>81.760000000000005</v>
      </c>
      <c r="BF28" s="6">
        <v>76.290000000000006</v>
      </c>
      <c r="BG28" s="6">
        <v>71.64</v>
      </c>
      <c r="BH28" s="6">
        <v>67.67</v>
      </c>
      <c r="BI28" s="6">
        <v>64.28</v>
      </c>
      <c r="BJ28" s="6">
        <v>61.35</v>
      </c>
      <c r="BK28" s="6">
        <v>58.83</v>
      </c>
      <c r="BL28" s="6">
        <v>56.66</v>
      </c>
      <c r="BM28" s="6">
        <v>54.5</v>
      </c>
      <c r="BN28" s="6">
        <v>52.64</v>
      </c>
      <c r="BO28" s="6">
        <v>51.01</v>
      </c>
      <c r="BP28" s="6">
        <v>49.61</v>
      </c>
      <c r="BQ28" s="1">
        <v>108.99</v>
      </c>
      <c r="BR28" s="1">
        <v>76.14</v>
      </c>
      <c r="BS28" s="1">
        <v>62.33</v>
      </c>
      <c r="BT28" s="1">
        <v>55.17</v>
      </c>
      <c r="BU28" s="1">
        <v>51.92</v>
      </c>
      <c r="BV28" s="1">
        <v>0</v>
      </c>
      <c r="BW28" s="1">
        <v>106.7</v>
      </c>
      <c r="BX28" s="1">
        <v>73.489999999999995</v>
      </c>
      <c r="BY28" s="1">
        <v>58.56</v>
      </c>
      <c r="BZ28" s="1">
        <v>50.77</v>
      </c>
      <c r="CA28" s="6">
        <v>108.52</v>
      </c>
      <c r="CB28" s="6">
        <v>99.55</v>
      </c>
      <c r="CC28" s="6">
        <v>92.2</v>
      </c>
      <c r="CD28" s="6">
        <v>86.12</v>
      </c>
      <c r="CE28" s="6">
        <v>81.010000000000005</v>
      </c>
      <c r="CF28" s="6">
        <v>76.709999999999994</v>
      </c>
      <c r="CG28" s="6">
        <v>73.3</v>
      </c>
      <c r="CH28" s="1">
        <v>70.430000000000007</v>
      </c>
      <c r="CI28" s="1">
        <v>67.98</v>
      </c>
      <c r="CJ28" s="1">
        <v>65.92</v>
      </c>
      <c r="CK28" s="1">
        <v>64.14</v>
      </c>
      <c r="CL28" s="1">
        <v>62.72</v>
      </c>
      <c r="CM28" s="1">
        <v>61.54</v>
      </c>
      <c r="CN28" s="1">
        <v>60.55</v>
      </c>
      <c r="CO28" s="1">
        <v>59.76</v>
      </c>
      <c r="CP28" s="1">
        <v>100.15</v>
      </c>
      <c r="CQ28" s="5">
        <v>90.62</v>
      </c>
      <c r="CR28" s="5">
        <v>82.74</v>
      </c>
      <c r="CS28" s="1">
        <v>76.11</v>
      </c>
      <c r="CT28" s="1">
        <v>70.47</v>
      </c>
      <c r="CU28" s="1">
        <v>65.62</v>
      </c>
      <c r="CV28" s="1">
        <v>61.42</v>
      </c>
      <c r="CW28" s="1">
        <v>57.73</v>
      </c>
      <c r="CX28" s="1">
        <v>54.49</v>
      </c>
      <c r="CY28" s="1">
        <v>51.61</v>
      </c>
      <c r="CZ28" s="1">
        <v>49.05</v>
      </c>
      <c r="DA28" s="1">
        <v>46.48</v>
      </c>
      <c r="DB28" s="1">
        <v>44.14</v>
      </c>
      <c r="DC28" s="1">
        <v>42.02</v>
      </c>
      <c r="DD28" s="1">
        <v>40.08</v>
      </c>
      <c r="DE28">
        <v>82.27</v>
      </c>
      <c r="DF28">
        <v>78.989999999999995</v>
      </c>
      <c r="DG28">
        <v>76.33</v>
      </c>
      <c r="DH28">
        <v>74.19</v>
      </c>
      <c r="DI28" s="1">
        <v>72.5</v>
      </c>
      <c r="DJ28" s="1">
        <v>71.209999999999994</v>
      </c>
      <c r="DK28" s="1">
        <v>70</v>
      </c>
      <c r="DL28" s="1">
        <v>69.11</v>
      </c>
      <c r="DM28" s="1">
        <v>68.489999999999995</v>
      </c>
      <c r="DN28" s="1">
        <v>68.11</v>
      </c>
      <c r="DO28" s="1">
        <v>67.94</v>
      </c>
      <c r="DP28" s="1">
        <v>8</v>
      </c>
      <c r="DQ28" s="1">
        <v>8</v>
      </c>
      <c r="DR28" s="1">
        <v>8</v>
      </c>
      <c r="DS28" s="1">
        <v>9.1</v>
      </c>
      <c r="DT28" s="1">
        <v>10.6</v>
      </c>
      <c r="DU28" s="1">
        <v>3.49</v>
      </c>
      <c r="DV28" s="1">
        <v>3.72</v>
      </c>
      <c r="DW28" s="1">
        <v>3.94</v>
      </c>
      <c r="DX28" s="1">
        <v>4.17</v>
      </c>
      <c r="DY28" s="1">
        <v>4.3899999999999997</v>
      </c>
      <c r="DZ28" s="1">
        <v>4.62</v>
      </c>
      <c r="EA28" s="1">
        <v>4.95</v>
      </c>
      <c r="EB28" s="1">
        <v>5.29</v>
      </c>
      <c r="EC28" s="1">
        <v>5.62</v>
      </c>
      <c r="ED28" s="1">
        <v>5.96</v>
      </c>
      <c r="EE28" s="1">
        <v>6.29</v>
      </c>
      <c r="EF28" s="1">
        <v>6.77</v>
      </c>
      <c r="EG28" s="1">
        <v>7.25</v>
      </c>
      <c r="EH28" s="1">
        <v>7.72</v>
      </c>
      <c r="EI28" s="1">
        <v>8.1999999999999993</v>
      </c>
      <c r="EJ28" s="1">
        <v>8.68</v>
      </c>
      <c r="EK28" s="1">
        <v>9.25</v>
      </c>
      <c r="EL28" s="1">
        <v>9.86</v>
      </c>
      <c r="EM28" s="1">
        <v>10.5</v>
      </c>
      <c r="EN28" s="1">
        <v>11.18</v>
      </c>
      <c r="EO28" s="10">
        <v>0</v>
      </c>
      <c r="EP28" s="10">
        <v>0</v>
      </c>
      <c r="EQ28" s="10">
        <v>0</v>
      </c>
      <c r="ER28" s="10">
        <v>0</v>
      </c>
      <c r="ES28" s="1">
        <v>0</v>
      </c>
      <c r="ET28" s="10">
        <v>0</v>
      </c>
      <c r="EU28" s="10">
        <v>0</v>
      </c>
      <c r="EV28" s="10">
        <v>0</v>
      </c>
      <c r="EW28" s="10">
        <v>0</v>
      </c>
      <c r="EX28" s="10">
        <v>0</v>
      </c>
      <c r="EY28" s="10">
        <v>0</v>
      </c>
      <c r="EZ28" s="10">
        <v>0</v>
      </c>
      <c r="FA28" s="10">
        <v>0</v>
      </c>
      <c r="FB28" s="10">
        <v>0</v>
      </c>
      <c r="FC28" s="10">
        <v>0</v>
      </c>
      <c r="FD28" s="10">
        <v>0</v>
      </c>
      <c r="FE28" s="1">
        <v>5.27</v>
      </c>
      <c r="FF28" s="1">
        <v>5.48</v>
      </c>
      <c r="FG28" s="1">
        <v>5.7</v>
      </c>
      <c r="FH28" s="1">
        <v>5.91</v>
      </c>
      <c r="FI28" s="1">
        <v>6.13</v>
      </c>
      <c r="FJ28" s="1">
        <v>6.34</v>
      </c>
      <c r="FK28" s="1">
        <v>6.66</v>
      </c>
      <c r="FL28" s="1">
        <v>6.98</v>
      </c>
      <c r="FM28" s="1">
        <v>7.29</v>
      </c>
      <c r="FN28" s="1">
        <v>7.61</v>
      </c>
      <c r="FO28" s="1">
        <v>7.93</v>
      </c>
      <c r="FP28" s="1">
        <v>8.35</v>
      </c>
      <c r="FQ28" s="1">
        <v>8.77</v>
      </c>
      <c r="FR28" s="1">
        <v>9.18</v>
      </c>
      <c r="FS28" s="1">
        <v>9.6</v>
      </c>
      <c r="FT28" s="1">
        <v>10.02</v>
      </c>
      <c r="FU28" s="9">
        <v>1.667</v>
      </c>
      <c r="FV28" s="1">
        <v>0</v>
      </c>
      <c r="FW28" s="1">
        <v>0</v>
      </c>
      <c r="FX28" s="1">
        <v>0</v>
      </c>
      <c r="FY28">
        <v>1.9079999999999999</v>
      </c>
      <c r="FZ28" s="9">
        <v>1.9790000000000001</v>
      </c>
      <c r="GA28" s="1">
        <v>0</v>
      </c>
      <c r="GB28" s="1">
        <v>0</v>
      </c>
      <c r="GC28" s="9">
        <v>2.2170000000000001</v>
      </c>
      <c r="GD28">
        <v>2.3039999999999998</v>
      </c>
      <c r="GE28" s="9">
        <v>2.3959999999999999</v>
      </c>
      <c r="GF28" s="9">
        <v>2.5009999999999999</v>
      </c>
      <c r="GG28" s="1">
        <v>0</v>
      </c>
      <c r="GH28" s="1">
        <v>0</v>
      </c>
      <c r="GI28" s="9">
        <v>2.891</v>
      </c>
      <c r="GJ28" s="1">
        <v>0</v>
      </c>
      <c r="GK28" s="1">
        <v>0</v>
      </c>
      <c r="GL28" s="10">
        <v>0</v>
      </c>
      <c r="GM28" s="1">
        <v>0</v>
      </c>
      <c r="GN28" s="1">
        <v>0</v>
      </c>
      <c r="GO28" s="1">
        <v>0</v>
      </c>
      <c r="GP28" s="1">
        <v>0</v>
      </c>
      <c r="GQ28" s="1">
        <v>0</v>
      </c>
      <c r="GR28" s="1">
        <v>0</v>
      </c>
      <c r="GS28" s="1">
        <v>0</v>
      </c>
      <c r="GT28" s="1">
        <v>0</v>
      </c>
      <c r="GU28" s="1">
        <v>0</v>
      </c>
      <c r="GV28" s="1">
        <v>0</v>
      </c>
      <c r="GW28" s="1">
        <v>0</v>
      </c>
      <c r="GX28" s="1">
        <v>0</v>
      </c>
      <c r="GY28" s="1">
        <v>0</v>
      </c>
      <c r="GZ28" s="1">
        <v>2.2799999999999998</v>
      </c>
      <c r="HA28" s="1">
        <v>2.61</v>
      </c>
      <c r="HB28" s="1">
        <v>2.97</v>
      </c>
      <c r="HC28" s="1">
        <v>3.39</v>
      </c>
      <c r="HD28" s="1">
        <v>3.84</v>
      </c>
      <c r="HE28" s="1">
        <v>4.3600000000000003</v>
      </c>
      <c r="HF28" s="1">
        <v>4.93</v>
      </c>
      <c r="HG28" s="1">
        <v>5.57</v>
      </c>
      <c r="HH28" s="1">
        <v>6.29</v>
      </c>
      <c r="HI28" s="1">
        <v>7.08</v>
      </c>
      <c r="HJ28" s="1">
        <v>7.96</v>
      </c>
      <c r="HK28" s="1">
        <v>8.92</v>
      </c>
      <c r="HL28" s="1">
        <v>9.9600000000000009</v>
      </c>
      <c r="HM28" s="1">
        <v>11.09</v>
      </c>
      <c r="HN28" s="1">
        <v>12.29</v>
      </c>
      <c r="HO28" s="1">
        <v>13.56</v>
      </c>
      <c r="HP28" s="1">
        <v>56.45</v>
      </c>
      <c r="HQ28">
        <v>41.42</v>
      </c>
      <c r="HR28" s="1">
        <v>34.35</v>
      </c>
      <c r="HS28" s="1">
        <v>30.35</v>
      </c>
      <c r="HT28" s="1">
        <v>27.98</v>
      </c>
      <c r="HU28" s="1">
        <v>26.8</v>
      </c>
      <c r="HV28" s="1">
        <v>29.8</v>
      </c>
      <c r="HW28" s="1">
        <v>103.63</v>
      </c>
      <c r="HX28" s="1">
        <v>69.44</v>
      </c>
      <c r="HY28" s="1">
        <v>53.66</v>
      </c>
      <c r="HZ28" s="1">
        <v>44.19</v>
      </c>
      <c r="IA28" s="1">
        <v>38.909999999999997</v>
      </c>
      <c r="IB28" s="1">
        <v>0</v>
      </c>
      <c r="IC28" s="1">
        <v>699.4</v>
      </c>
      <c r="ID28" s="1">
        <v>586.4</v>
      </c>
      <c r="IE28" s="1">
        <v>503.9</v>
      </c>
      <c r="IF28" s="1">
        <v>429.4</v>
      </c>
      <c r="IG28" s="1">
        <v>374.5</v>
      </c>
      <c r="IH28" s="1">
        <v>0</v>
      </c>
      <c r="II28" s="1">
        <v>0</v>
      </c>
      <c r="IJ28" s="1">
        <v>67.28</v>
      </c>
      <c r="IK28" s="1">
        <v>59.65</v>
      </c>
      <c r="IL28" s="1">
        <v>0</v>
      </c>
      <c r="IM28" s="1">
        <v>0</v>
      </c>
      <c r="IN28" s="1">
        <v>0</v>
      </c>
      <c r="IO28" s="1">
        <v>0</v>
      </c>
      <c r="IP28" s="1">
        <v>0</v>
      </c>
      <c r="IQ28" s="1">
        <v>0</v>
      </c>
      <c r="IR28" s="1">
        <v>0</v>
      </c>
      <c r="IS28" s="1">
        <v>0</v>
      </c>
      <c r="IT28" s="1">
        <v>0</v>
      </c>
      <c r="IU28" s="1">
        <v>32.35</v>
      </c>
      <c r="IV28" s="1">
        <v>0</v>
      </c>
      <c r="IW28" s="1">
        <v>0</v>
      </c>
      <c r="IX28" s="1">
        <v>0</v>
      </c>
      <c r="IY28" s="1">
        <v>0</v>
      </c>
      <c r="IZ28" s="1">
        <v>0</v>
      </c>
      <c r="JA28" s="1">
        <v>0</v>
      </c>
      <c r="JB28" s="1">
        <v>79.31</v>
      </c>
      <c r="JC28" s="1">
        <v>60.87</v>
      </c>
      <c r="JD28" s="1">
        <v>6.05</v>
      </c>
      <c r="JE28" s="1">
        <v>6.17</v>
      </c>
      <c r="JF28" s="1">
        <v>6.3</v>
      </c>
      <c r="JG28" s="1">
        <v>6.45</v>
      </c>
      <c r="JH28" s="1">
        <v>6.6</v>
      </c>
      <c r="JI28" s="1">
        <v>6.77</v>
      </c>
      <c r="JJ28" s="1">
        <v>27.84</v>
      </c>
      <c r="JK28" s="1">
        <v>33.409999999999997</v>
      </c>
      <c r="JL28" s="1">
        <v>39.03</v>
      </c>
      <c r="JM28" s="1">
        <v>44.72</v>
      </c>
      <c r="JN28" s="1">
        <v>50.51</v>
      </c>
      <c r="JO28" s="1">
        <v>56.52</v>
      </c>
      <c r="JP28" s="1">
        <v>92.86</v>
      </c>
      <c r="JQ28" s="1">
        <v>76.040000000000006</v>
      </c>
      <c r="JR28" s="1">
        <v>65.27</v>
      </c>
      <c r="JS28" s="1">
        <v>57.67</v>
      </c>
      <c r="JT28" s="1">
        <v>51.66</v>
      </c>
      <c r="JU28" s="1">
        <v>47.23</v>
      </c>
      <c r="JV28" s="1">
        <v>43.91</v>
      </c>
      <c r="JW28" s="1">
        <v>92.11</v>
      </c>
      <c r="JX28" s="1">
        <v>75.290000000000006</v>
      </c>
      <c r="JY28" s="1">
        <v>64.52</v>
      </c>
      <c r="JZ28" s="1">
        <v>56.92</v>
      </c>
      <c r="KA28" s="1">
        <v>50.91</v>
      </c>
      <c r="KB28" s="1">
        <v>46.48</v>
      </c>
      <c r="KC28" s="1">
        <v>43.16</v>
      </c>
    </row>
    <row r="29" spans="1:289" x14ac:dyDescent="0.15">
      <c r="A29" s="8">
        <v>37</v>
      </c>
      <c r="B29" s="1">
        <v>26.15</v>
      </c>
      <c r="C29" s="1">
        <v>100.06</v>
      </c>
      <c r="D29" s="1">
        <v>90.59</v>
      </c>
      <c r="E29" s="1">
        <v>82.76</v>
      </c>
      <c r="F29" s="1">
        <v>76.19</v>
      </c>
      <c r="G29" s="1">
        <v>70.62</v>
      </c>
      <c r="H29" s="1">
        <v>65.84</v>
      </c>
      <c r="I29" s="1">
        <v>61.7</v>
      </c>
      <c r="J29" s="1">
        <v>58.1</v>
      </c>
      <c r="K29" s="1">
        <v>54.94</v>
      </c>
      <c r="L29" s="1">
        <v>52.15</v>
      </c>
      <c r="M29" s="1">
        <v>49.69</v>
      </c>
      <c r="N29" s="1">
        <v>47.23</v>
      </c>
      <c r="O29" s="1">
        <v>45.02</v>
      </c>
      <c r="P29" s="1">
        <v>43.03</v>
      </c>
      <c r="Q29" s="1">
        <v>41.24</v>
      </c>
      <c r="R29" s="1">
        <v>39.61</v>
      </c>
      <c r="S29" s="1">
        <v>38.14</v>
      </c>
      <c r="T29" s="1">
        <v>36.799999999999997</v>
      </c>
      <c r="U29" s="1">
        <v>35.590000000000003</v>
      </c>
      <c r="V29" s="1">
        <v>34.49</v>
      </c>
      <c r="W29" s="1">
        <v>33.49</v>
      </c>
      <c r="X29" s="1">
        <v>32.590000000000003</v>
      </c>
      <c r="Y29" s="1">
        <v>31.77</v>
      </c>
      <c r="Z29" s="1">
        <v>31.03</v>
      </c>
      <c r="AA29" s="1">
        <v>30.36</v>
      </c>
      <c r="AB29" s="1">
        <v>29.76</v>
      </c>
      <c r="AC29" s="1">
        <v>29.22</v>
      </c>
      <c r="AD29" s="1">
        <v>28.74</v>
      </c>
      <c r="AE29" s="1">
        <v>28.31</v>
      </c>
      <c r="AF29" s="10">
        <v>0</v>
      </c>
      <c r="AG29" s="10">
        <v>0</v>
      </c>
      <c r="AH29" s="1">
        <v>0</v>
      </c>
      <c r="AI29" s="10">
        <v>0</v>
      </c>
      <c r="AJ29" s="10">
        <v>0</v>
      </c>
      <c r="AK29" s="10">
        <v>0</v>
      </c>
      <c r="AL29" s="10">
        <v>0</v>
      </c>
      <c r="AM29" s="10">
        <v>0</v>
      </c>
      <c r="AN29" s="10">
        <v>0</v>
      </c>
      <c r="AO29" s="10">
        <v>0</v>
      </c>
      <c r="AP29" s="1">
        <v>0</v>
      </c>
      <c r="AQ29" s="10">
        <v>0</v>
      </c>
      <c r="AR29" s="10">
        <v>0</v>
      </c>
      <c r="AS29" s="10">
        <v>0</v>
      </c>
      <c r="AT29" s="10">
        <v>0</v>
      </c>
      <c r="AU29" s="10">
        <v>0</v>
      </c>
      <c r="AV29" s="10">
        <v>0</v>
      </c>
      <c r="AW29" s="1">
        <v>65.19</v>
      </c>
      <c r="AX29" s="1">
        <v>57.66</v>
      </c>
      <c r="AY29" s="1">
        <v>51.87</v>
      </c>
      <c r="AZ29" s="1">
        <v>47.62</v>
      </c>
      <c r="BA29" s="1">
        <v>44.48</v>
      </c>
      <c r="BB29" s="6">
        <v>105.93</v>
      </c>
      <c r="BC29" s="6">
        <v>96.45</v>
      </c>
      <c r="BD29" s="6">
        <v>88.67</v>
      </c>
      <c r="BE29" s="6">
        <v>82.21</v>
      </c>
      <c r="BF29" s="6">
        <v>76.790000000000006</v>
      </c>
      <c r="BG29" s="6">
        <v>72.19</v>
      </c>
      <c r="BH29" s="6">
        <v>68.28</v>
      </c>
      <c r="BI29" s="6">
        <v>64.94</v>
      </c>
      <c r="BJ29" s="6">
        <v>62.07</v>
      </c>
      <c r="BK29" s="6">
        <v>59.62</v>
      </c>
      <c r="BL29" s="6">
        <v>57.52</v>
      </c>
      <c r="BM29" s="6">
        <v>55.44</v>
      </c>
      <c r="BN29" s="6">
        <v>53.64</v>
      </c>
      <c r="BO29" s="6">
        <v>52.1</v>
      </c>
      <c r="BP29" s="6">
        <v>50.78</v>
      </c>
      <c r="BQ29" s="1">
        <v>109.78</v>
      </c>
      <c r="BR29" s="1">
        <v>77.239999999999995</v>
      </c>
      <c r="BS29" s="1">
        <v>63.82</v>
      </c>
      <c r="BT29" s="1">
        <v>56.99</v>
      </c>
      <c r="BU29" s="1">
        <v>53.94</v>
      </c>
      <c r="BV29" s="1">
        <v>0</v>
      </c>
      <c r="BW29" s="1">
        <v>107.17</v>
      </c>
      <c r="BX29" s="1">
        <v>74.180000000000007</v>
      </c>
      <c r="BY29" s="1">
        <v>59.82</v>
      </c>
      <c r="BZ29" s="1">
        <v>52.02</v>
      </c>
      <c r="CA29" s="6">
        <v>108.96</v>
      </c>
      <c r="CB29" s="6">
        <v>100.06</v>
      </c>
      <c r="CC29" s="6">
        <v>92.78</v>
      </c>
      <c r="CD29" s="6">
        <v>86.78</v>
      </c>
      <c r="CE29" s="6">
        <v>81.75</v>
      </c>
      <c r="CF29" s="6">
        <v>77.53</v>
      </c>
      <c r="CG29" s="6">
        <v>74.22</v>
      </c>
      <c r="CH29" s="1">
        <v>71.45</v>
      </c>
      <c r="CI29" s="1">
        <v>69.099999999999994</v>
      </c>
      <c r="CJ29" s="1">
        <v>67.150000000000006</v>
      </c>
      <c r="CK29" s="1">
        <v>65.48</v>
      </c>
      <c r="CL29" s="1">
        <v>64.19</v>
      </c>
      <c r="CM29" s="1">
        <v>63.16</v>
      </c>
      <c r="CN29" s="1">
        <v>62.31</v>
      </c>
      <c r="CO29" s="1">
        <v>61.51</v>
      </c>
      <c r="CP29" s="1">
        <v>100.24</v>
      </c>
      <c r="CQ29" s="5">
        <v>90.73</v>
      </c>
      <c r="CR29" s="5">
        <v>82.85</v>
      </c>
      <c r="CS29" s="1">
        <v>76.22</v>
      </c>
      <c r="CT29" s="1">
        <v>70.59</v>
      </c>
      <c r="CU29" s="1">
        <v>65.75</v>
      </c>
      <c r="CV29" s="1">
        <v>61.55</v>
      </c>
      <c r="CW29" s="1">
        <v>57.87</v>
      </c>
      <c r="CX29" s="1">
        <v>54.63</v>
      </c>
      <c r="CY29" s="1">
        <v>51.76</v>
      </c>
      <c r="CZ29" s="1">
        <v>49.21</v>
      </c>
      <c r="DA29" s="1">
        <v>46.64</v>
      </c>
      <c r="DB29" s="1">
        <v>44.32</v>
      </c>
      <c r="DC29" s="1">
        <v>42.2</v>
      </c>
      <c r="DD29" s="1">
        <v>40.270000000000003</v>
      </c>
      <c r="DE29">
        <v>84.11</v>
      </c>
      <c r="DF29">
        <v>80.98</v>
      </c>
      <c r="DG29">
        <v>78.459999999999994</v>
      </c>
      <c r="DH29">
        <v>76.48</v>
      </c>
      <c r="DI29">
        <v>74.95</v>
      </c>
      <c r="DJ29" s="1">
        <v>73.819999999999993</v>
      </c>
      <c r="DK29" s="1">
        <v>72.77</v>
      </c>
      <c r="DL29" s="1">
        <v>72.02</v>
      </c>
      <c r="DM29" s="1">
        <v>71.540000000000006</v>
      </c>
      <c r="DN29" s="1">
        <v>71.290000000000006</v>
      </c>
      <c r="DO29" s="1">
        <v>71.25</v>
      </c>
      <c r="DP29" s="1">
        <v>8</v>
      </c>
      <c r="DQ29" s="1">
        <v>8</v>
      </c>
      <c r="DR29" s="1">
        <v>8</v>
      </c>
      <c r="DS29" s="1">
        <v>10</v>
      </c>
      <c r="DT29" s="1">
        <v>11.68</v>
      </c>
      <c r="DU29" s="1">
        <v>3.63</v>
      </c>
      <c r="DV29" s="1">
        <v>3.89</v>
      </c>
      <c r="DW29" s="1">
        <v>4.1399999999999997</v>
      </c>
      <c r="DX29" s="1">
        <v>4.4000000000000004</v>
      </c>
      <c r="DY29" s="1">
        <v>4.6500000000000004</v>
      </c>
      <c r="DZ29" s="1">
        <v>4.91</v>
      </c>
      <c r="EA29" s="1">
        <v>5.28</v>
      </c>
      <c r="EB29" s="1">
        <v>5.66</v>
      </c>
      <c r="EC29" s="1">
        <v>6.03</v>
      </c>
      <c r="ED29" s="1">
        <v>6.41</v>
      </c>
      <c r="EE29" s="1">
        <v>6.78</v>
      </c>
      <c r="EF29" s="1">
        <v>7.31</v>
      </c>
      <c r="EG29" s="1">
        <v>7.85</v>
      </c>
      <c r="EH29" s="1">
        <v>8.3800000000000008</v>
      </c>
      <c r="EI29" s="1">
        <v>8.85</v>
      </c>
      <c r="EJ29" s="1">
        <v>9.4499999999999993</v>
      </c>
      <c r="EK29" s="1">
        <v>10.09</v>
      </c>
      <c r="EL29" s="1">
        <v>10.76</v>
      </c>
      <c r="EM29" s="1">
        <v>11.47</v>
      </c>
      <c r="EN29" s="10">
        <v>0</v>
      </c>
      <c r="EO29" s="10">
        <v>0</v>
      </c>
      <c r="EP29" s="10">
        <v>0</v>
      </c>
      <c r="EQ29" s="10">
        <v>0</v>
      </c>
      <c r="ER29" s="1">
        <v>0</v>
      </c>
      <c r="ES29" s="10">
        <v>0</v>
      </c>
      <c r="ET29" s="10">
        <v>0</v>
      </c>
      <c r="EU29" s="10">
        <v>0</v>
      </c>
      <c r="EV29" s="10">
        <v>0</v>
      </c>
      <c r="EW29" s="10">
        <v>0</v>
      </c>
      <c r="EX29" s="10">
        <v>0</v>
      </c>
      <c r="EY29" s="10">
        <v>0</v>
      </c>
      <c r="EZ29" s="10">
        <v>0</v>
      </c>
      <c r="FA29" s="10">
        <v>0</v>
      </c>
      <c r="FB29" s="10">
        <v>0</v>
      </c>
      <c r="FC29" s="10">
        <v>0</v>
      </c>
      <c r="FD29" s="10">
        <v>0</v>
      </c>
      <c r="FE29" s="1">
        <v>5.61</v>
      </c>
      <c r="FF29" s="1">
        <v>5.86</v>
      </c>
      <c r="FG29" s="1">
        <v>6.1</v>
      </c>
      <c r="FH29" s="1">
        <v>6.35</v>
      </c>
      <c r="FI29" s="1">
        <v>6.59</v>
      </c>
      <c r="FJ29" s="1">
        <v>6.84</v>
      </c>
      <c r="FK29" s="1">
        <v>7.2</v>
      </c>
      <c r="FL29" s="1">
        <v>7.56</v>
      </c>
      <c r="FM29" s="1">
        <v>7.91</v>
      </c>
      <c r="FN29" s="1">
        <v>8.27</v>
      </c>
      <c r="FO29" s="1">
        <v>8.6300000000000008</v>
      </c>
      <c r="FP29" s="1">
        <v>9.09</v>
      </c>
      <c r="FQ29" s="1">
        <v>9.5399999999999991</v>
      </c>
      <c r="FR29" s="1">
        <v>10</v>
      </c>
      <c r="FS29" s="1">
        <v>10.45</v>
      </c>
      <c r="FT29" s="1">
        <v>10.91</v>
      </c>
      <c r="FU29" s="9">
        <v>1.7709999999999999</v>
      </c>
      <c r="FV29" s="1">
        <v>0</v>
      </c>
      <c r="FW29" s="1">
        <v>0</v>
      </c>
      <c r="FX29">
        <v>1.9770000000000001</v>
      </c>
      <c r="FY29" s="1">
        <v>0</v>
      </c>
      <c r="FZ29" s="9">
        <v>2.1349999999999998</v>
      </c>
      <c r="GA29" s="1">
        <v>0</v>
      </c>
      <c r="GB29" s="1">
        <v>0</v>
      </c>
      <c r="GC29" s="9">
        <v>2.4039999999999999</v>
      </c>
      <c r="GD29" s="1">
        <v>0</v>
      </c>
      <c r="GE29" s="9">
        <v>2.6040000000000001</v>
      </c>
      <c r="GF29" s="9">
        <v>2.7290000000000001</v>
      </c>
      <c r="GG29" s="1">
        <v>0</v>
      </c>
      <c r="GH29">
        <v>3.0259999999999998</v>
      </c>
      <c r="GI29" s="1">
        <v>0</v>
      </c>
      <c r="GJ29" s="1">
        <v>0</v>
      </c>
      <c r="GK29" s="1">
        <v>0</v>
      </c>
      <c r="GL29" s="10">
        <v>0</v>
      </c>
      <c r="GM29" s="1">
        <v>0</v>
      </c>
      <c r="GN29" s="1">
        <v>0</v>
      </c>
      <c r="GO29" s="10">
        <v>0</v>
      </c>
      <c r="GP29" s="1">
        <v>0</v>
      </c>
      <c r="GQ29" s="1">
        <v>0</v>
      </c>
      <c r="GR29" s="1">
        <v>0</v>
      </c>
      <c r="GS29" s="1">
        <v>0</v>
      </c>
      <c r="GT29" s="10">
        <v>0</v>
      </c>
      <c r="GU29" s="1">
        <v>0</v>
      </c>
      <c r="GV29" s="1">
        <v>0</v>
      </c>
      <c r="GW29" s="1">
        <v>0</v>
      </c>
      <c r="GX29" s="1">
        <v>0</v>
      </c>
      <c r="GY29" s="10">
        <v>0</v>
      </c>
      <c r="GZ29" s="1">
        <v>2.4900000000000002</v>
      </c>
      <c r="HA29" s="1">
        <v>2.86</v>
      </c>
      <c r="HB29" s="1">
        <v>3.28</v>
      </c>
      <c r="HC29" s="1">
        <v>3.74</v>
      </c>
      <c r="HD29" s="1">
        <v>4.25</v>
      </c>
      <c r="HE29" s="1">
        <v>4.84</v>
      </c>
      <c r="HF29" s="1">
        <v>5.49</v>
      </c>
      <c r="HG29" s="1">
        <v>6.21</v>
      </c>
      <c r="HH29" s="1">
        <v>7.02</v>
      </c>
      <c r="HI29" s="1">
        <v>7.91</v>
      </c>
      <c r="HJ29" s="1">
        <v>8.8800000000000008</v>
      </c>
      <c r="HK29" s="1">
        <v>9.94</v>
      </c>
      <c r="HL29" s="1">
        <v>11.08</v>
      </c>
      <c r="HM29" s="1">
        <v>12.3</v>
      </c>
      <c r="HN29" s="1">
        <v>13.59</v>
      </c>
      <c r="HO29" s="1">
        <v>14.95</v>
      </c>
      <c r="HP29" s="1">
        <v>57.78</v>
      </c>
      <c r="HQ29">
        <v>42.54</v>
      </c>
      <c r="HR29" s="1">
        <v>35.24</v>
      </c>
      <c r="HS29" s="1">
        <v>31.19</v>
      </c>
      <c r="HT29" s="1">
        <v>28.81</v>
      </c>
      <c r="HU29" s="1">
        <v>27.89</v>
      </c>
      <c r="HV29" s="1">
        <v>31.03</v>
      </c>
      <c r="HW29" s="1">
        <v>103.88</v>
      </c>
      <c r="HX29" s="1">
        <v>69.81</v>
      </c>
      <c r="HY29" s="1">
        <v>54.18</v>
      </c>
      <c r="HZ29" s="1">
        <v>44.91</v>
      </c>
      <c r="IA29" s="1">
        <v>39.83</v>
      </c>
      <c r="IB29" s="1">
        <v>0</v>
      </c>
      <c r="IC29" s="1">
        <v>699.4</v>
      </c>
      <c r="ID29" s="1">
        <v>586.4</v>
      </c>
      <c r="IE29" s="1">
        <v>503.9</v>
      </c>
      <c r="IF29" s="1">
        <v>429.4</v>
      </c>
      <c r="IG29" s="1">
        <v>374.5</v>
      </c>
      <c r="IH29" s="1">
        <v>0</v>
      </c>
      <c r="II29" s="1">
        <v>0</v>
      </c>
      <c r="IJ29" s="1">
        <v>67.69</v>
      </c>
      <c r="IK29" s="1">
        <v>60.16</v>
      </c>
      <c r="IL29" s="1">
        <v>0</v>
      </c>
      <c r="IM29" s="1">
        <v>0</v>
      </c>
      <c r="IN29" s="1">
        <v>0</v>
      </c>
      <c r="IO29" s="1">
        <v>0</v>
      </c>
      <c r="IP29" s="1">
        <v>0</v>
      </c>
      <c r="IQ29" s="1">
        <v>0</v>
      </c>
      <c r="IR29" s="1">
        <v>0</v>
      </c>
      <c r="IS29" s="1">
        <v>0</v>
      </c>
      <c r="IT29" s="1">
        <v>33.51</v>
      </c>
      <c r="IU29" s="1">
        <v>0</v>
      </c>
      <c r="IV29" s="1">
        <v>0</v>
      </c>
      <c r="IW29" s="1">
        <v>0</v>
      </c>
      <c r="IX29" s="1">
        <v>0</v>
      </c>
      <c r="IY29" s="1">
        <v>0</v>
      </c>
      <c r="IZ29" s="1">
        <v>0</v>
      </c>
      <c r="JA29" s="1">
        <v>0</v>
      </c>
      <c r="JB29" s="1">
        <v>79.52</v>
      </c>
      <c r="JC29" s="1">
        <v>61.08</v>
      </c>
      <c r="JD29" s="1">
        <v>6.29</v>
      </c>
      <c r="JE29" s="1">
        <v>6.43</v>
      </c>
      <c r="JF29" s="1">
        <v>6.58</v>
      </c>
      <c r="JG29" s="1">
        <v>6.75</v>
      </c>
      <c r="JH29" s="1">
        <v>6.92</v>
      </c>
      <c r="JI29" s="1">
        <v>7.11</v>
      </c>
      <c r="JJ29" s="1">
        <v>28.96</v>
      </c>
      <c r="JK29" s="1">
        <v>34.82</v>
      </c>
      <c r="JL29" s="1">
        <v>40.75</v>
      </c>
      <c r="JM29" s="1">
        <v>46.77</v>
      </c>
      <c r="JN29" s="1">
        <v>52.93</v>
      </c>
      <c r="JO29" s="1">
        <v>59.25</v>
      </c>
      <c r="JP29" s="1">
        <v>93.09</v>
      </c>
      <c r="JQ29" s="1">
        <v>76.34</v>
      </c>
      <c r="JR29" s="1">
        <v>65.650000000000006</v>
      </c>
      <c r="JS29" s="1">
        <v>58.12</v>
      </c>
      <c r="JT29" s="1">
        <v>52.2</v>
      </c>
      <c r="JU29" s="1">
        <v>47.84</v>
      </c>
      <c r="JV29" s="1">
        <v>44.59</v>
      </c>
      <c r="JW29" s="1">
        <v>92.34</v>
      </c>
      <c r="JX29" s="1">
        <v>75.59</v>
      </c>
      <c r="JY29" s="1">
        <v>94.9</v>
      </c>
      <c r="JZ29" s="1">
        <v>57.37</v>
      </c>
      <c r="KA29" s="1">
        <v>51.45</v>
      </c>
      <c r="KB29" s="1">
        <v>47.09</v>
      </c>
      <c r="KC29" s="1">
        <v>43.84</v>
      </c>
    </row>
    <row r="30" spans="1:289" x14ac:dyDescent="0.15">
      <c r="A30" s="8">
        <v>38</v>
      </c>
      <c r="B30" s="1">
        <v>27.13</v>
      </c>
      <c r="C30" s="1">
        <v>100.2</v>
      </c>
      <c r="D30" s="1">
        <v>90.74</v>
      </c>
      <c r="E30" s="1">
        <v>82.92</v>
      </c>
      <c r="F30" s="1">
        <v>76.37</v>
      </c>
      <c r="G30" s="1">
        <v>70.81</v>
      </c>
      <c r="H30" s="1">
        <v>66.040000000000006</v>
      </c>
      <c r="I30" s="1">
        <v>61.92</v>
      </c>
      <c r="J30" s="1">
        <v>58.33</v>
      </c>
      <c r="K30" s="1">
        <v>55.19</v>
      </c>
      <c r="L30" s="1">
        <v>52.43</v>
      </c>
      <c r="M30" s="1">
        <v>49.99</v>
      </c>
      <c r="N30" s="1">
        <v>47.55</v>
      </c>
      <c r="O30" s="1">
        <v>45.36</v>
      </c>
      <c r="P30" s="1">
        <v>43.4</v>
      </c>
      <c r="Q30" s="1">
        <v>41.62</v>
      </c>
      <c r="R30" s="1">
        <v>40.020000000000003</v>
      </c>
      <c r="S30" s="1">
        <v>38.57</v>
      </c>
      <c r="T30" s="1">
        <v>37.26</v>
      </c>
      <c r="U30" s="1">
        <v>36.07</v>
      </c>
      <c r="V30" s="1">
        <v>34.99</v>
      </c>
      <c r="W30" s="1">
        <v>34.020000000000003</v>
      </c>
      <c r="X30" s="1">
        <v>33.15</v>
      </c>
      <c r="Y30" s="1">
        <v>32.340000000000003</v>
      </c>
      <c r="Z30" s="1">
        <v>31.63</v>
      </c>
      <c r="AA30" s="1">
        <v>30.98</v>
      </c>
      <c r="AB30" s="1">
        <v>30.41</v>
      </c>
      <c r="AC30" s="1">
        <v>29.89</v>
      </c>
      <c r="AD30" s="1">
        <v>29.44</v>
      </c>
      <c r="AE30" s="10">
        <v>0</v>
      </c>
      <c r="AF30" s="1">
        <v>0</v>
      </c>
      <c r="AG30" s="1">
        <v>0</v>
      </c>
      <c r="AH30" s="10">
        <v>0</v>
      </c>
      <c r="AI30" s="10">
        <v>0</v>
      </c>
      <c r="AJ30" s="10">
        <v>0</v>
      </c>
      <c r="AK30" s="10">
        <v>0</v>
      </c>
      <c r="AL30" s="10">
        <v>0</v>
      </c>
      <c r="AM30" s="10">
        <v>0</v>
      </c>
      <c r="AN30" s="1">
        <v>0</v>
      </c>
      <c r="AO30" s="1">
        <v>0</v>
      </c>
      <c r="AP30" s="10">
        <v>0</v>
      </c>
      <c r="AQ30" s="1">
        <v>0</v>
      </c>
      <c r="AR30" s="1">
        <v>0</v>
      </c>
      <c r="AS30" s="1">
        <v>0</v>
      </c>
      <c r="AT30" s="1">
        <v>0</v>
      </c>
      <c r="AU30" s="1">
        <v>0</v>
      </c>
      <c r="AV30" s="1">
        <v>0</v>
      </c>
      <c r="AW30" s="1">
        <v>65.64</v>
      </c>
      <c r="AX30" s="1">
        <v>58.21</v>
      </c>
      <c r="AY30" s="1">
        <v>52.5</v>
      </c>
      <c r="AZ30" s="1">
        <v>48.34</v>
      </c>
      <c r="BA30" s="1">
        <v>45.27</v>
      </c>
      <c r="BB30" s="6">
        <v>106.27</v>
      </c>
      <c r="BC30" s="6">
        <v>96.83</v>
      </c>
      <c r="BD30" s="6">
        <v>89.09</v>
      </c>
      <c r="BE30" s="6">
        <v>82.67</v>
      </c>
      <c r="BF30" s="6">
        <v>77.28</v>
      </c>
      <c r="BG30" s="6">
        <v>72.739999999999995</v>
      </c>
      <c r="BH30" s="6">
        <v>68.88</v>
      </c>
      <c r="BI30" s="6">
        <v>65.599999999999994</v>
      </c>
      <c r="BJ30" s="6">
        <v>62.8</v>
      </c>
      <c r="BK30" s="6">
        <v>60.41</v>
      </c>
      <c r="BL30" s="6">
        <v>58.38</v>
      </c>
      <c r="BM30" s="6">
        <v>56.37</v>
      </c>
      <c r="BN30" s="6">
        <v>54.65</v>
      </c>
      <c r="BO30" s="6">
        <v>53.18</v>
      </c>
      <c r="BP30" s="6">
        <v>51.94</v>
      </c>
      <c r="BQ30" s="1">
        <v>110.67</v>
      </c>
      <c r="BR30" s="1">
        <v>78.489999999999995</v>
      </c>
      <c r="BS30" s="1">
        <v>65.5</v>
      </c>
      <c r="BT30" s="1">
        <v>58.97</v>
      </c>
      <c r="BU30" s="1">
        <v>56.11</v>
      </c>
      <c r="BV30" s="1">
        <v>0</v>
      </c>
      <c r="BW30" s="1">
        <v>107.71</v>
      </c>
      <c r="BX30" s="1">
        <v>74.95</v>
      </c>
      <c r="BY30" s="1">
        <v>60.91</v>
      </c>
      <c r="BZ30" s="1">
        <v>53.39</v>
      </c>
      <c r="CA30" s="6">
        <v>109.47</v>
      </c>
      <c r="CB30" s="6">
        <v>100.66</v>
      </c>
      <c r="CC30" s="6">
        <v>93.45</v>
      </c>
      <c r="CD30" s="6">
        <v>87.54</v>
      </c>
      <c r="CE30" s="6">
        <v>82.58</v>
      </c>
      <c r="CF30" s="6">
        <v>78.44</v>
      </c>
      <c r="CG30" s="6">
        <v>75.25</v>
      </c>
      <c r="CH30" s="1">
        <v>72.59</v>
      </c>
      <c r="CI30" s="1">
        <v>70.400000000000006</v>
      </c>
      <c r="CJ30" s="1">
        <v>68.540000000000006</v>
      </c>
      <c r="CK30" s="1">
        <v>67.010000000000005</v>
      </c>
      <c r="CL30" s="1">
        <v>65.89</v>
      </c>
      <c r="CM30" s="1">
        <v>64.989999999999995</v>
      </c>
      <c r="CN30" s="1">
        <v>64.06</v>
      </c>
      <c r="CO30" s="1">
        <v>63.64</v>
      </c>
      <c r="CP30" s="1">
        <v>100.35</v>
      </c>
      <c r="CQ30" s="5">
        <v>90.84</v>
      </c>
      <c r="CR30" s="5">
        <v>82.97</v>
      </c>
      <c r="CS30" s="1">
        <v>76.349999999999994</v>
      </c>
      <c r="CT30" s="1">
        <v>70.73</v>
      </c>
      <c r="CU30" s="1">
        <v>65.89</v>
      </c>
      <c r="CV30" s="1">
        <v>61.69</v>
      </c>
      <c r="CW30" s="1">
        <v>58.03</v>
      </c>
      <c r="CX30" s="1">
        <v>54.8</v>
      </c>
      <c r="CY30" s="1">
        <v>51.94</v>
      </c>
      <c r="CZ30" s="1">
        <v>49.39</v>
      </c>
      <c r="DA30" s="1">
        <v>46.83</v>
      </c>
      <c r="DB30" s="1">
        <v>44.52</v>
      </c>
      <c r="DC30" s="1">
        <v>42.41</v>
      </c>
      <c r="DD30" s="1">
        <v>40.479999999999997</v>
      </c>
      <c r="DE30">
        <v>86.22</v>
      </c>
      <c r="DF30">
        <v>83.25</v>
      </c>
      <c r="DG30" s="1">
        <v>80.900000000000006</v>
      </c>
      <c r="DH30">
        <v>79.08</v>
      </c>
      <c r="DI30">
        <v>77.709999999999994</v>
      </c>
      <c r="DJ30" s="1">
        <v>76.75</v>
      </c>
      <c r="DK30" s="1">
        <v>75.849999999999994</v>
      </c>
      <c r="DL30" s="1">
        <v>75.25</v>
      </c>
      <c r="DM30" s="1">
        <v>74.91</v>
      </c>
      <c r="DN30" s="1">
        <v>74.790000000000006</v>
      </c>
      <c r="DO30" s="1">
        <v>74.86</v>
      </c>
      <c r="DP30" s="1">
        <v>8</v>
      </c>
      <c r="DQ30" s="1">
        <v>8</v>
      </c>
      <c r="DR30" s="1">
        <v>8</v>
      </c>
      <c r="DS30" s="1">
        <v>11.05</v>
      </c>
      <c r="DT30" s="1">
        <v>12.88</v>
      </c>
      <c r="DU30" s="1">
        <v>3.8</v>
      </c>
      <c r="DV30" s="1">
        <v>4.09</v>
      </c>
      <c r="DW30" s="1">
        <v>4.37</v>
      </c>
      <c r="DX30" s="1">
        <v>4.66</v>
      </c>
      <c r="DY30" s="1">
        <v>4.9400000000000004</v>
      </c>
      <c r="DZ30" s="1">
        <v>5.23</v>
      </c>
      <c r="EA30" s="1">
        <v>5.65</v>
      </c>
      <c r="EB30" s="1">
        <v>6.07</v>
      </c>
      <c r="EC30" s="1">
        <v>6.5</v>
      </c>
      <c r="ED30" s="1">
        <v>6.92</v>
      </c>
      <c r="EE30" s="1">
        <v>7.34</v>
      </c>
      <c r="EF30" s="1">
        <v>7.94</v>
      </c>
      <c r="EG30" s="1">
        <v>8.5299999999999994</v>
      </c>
      <c r="EH30" s="1">
        <v>9.02</v>
      </c>
      <c r="EI30" s="1">
        <v>9.65</v>
      </c>
      <c r="EJ30" s="1">
        <v>10.32</v>
      </c>
      <c r="EK30" s="1">
        <v>11.03</v>
      </c>
      <c r="EL30" s="1">
        <v>11.78</v>
      </c>
      <c r="EM30" s="10">
        <v>0</v>
      </c>
      <c r="EN30" s="10">
        <v>0</v>
      </c>
      <c r="EO30" s="10">
        <v>0</v>
      </c>
      <c r="EP30" s="10">
        <v>0</v>
      </c>
      <c r="EQ30" s="1">
        <v>0</v>
      </c>
      <c r="ER30" s="10">
        <v>0</v>
      </c>
      <c r="ES30" s="10">
        <v>0</v>
      </c>
      <c r="ET30" s="10">
        <v>0</v>
      </c>
      <c r="EU30" s="10">
        <v>0</v>
      </c>
      <c r="EV30" s="1">
        <v>0</v>
      </c>
      <c r="EW30" s="1">
        <v>0</v>
      </c>
      <c r="EX30" s="1">
        <v>0</v>
      </c>
      <c r="EY30" s="1">
        <v>0</v>
      </c>
      <c r="EZ30" s="1">
        <v>0</v>
      </c>
      <c r="FA30" s="1">
        <v>0</v>
      </c>
      <c r="FB30" s="1">
        <v>0</v>
      </c>
      <c r="FC30" s="1">
        <v>0</v>
      </c>
      <c r="FD30" s="1">
        <v>0</v>
      </c>
      <c r="FE30" s="1">
        <v>6.01</v>
      </c>
      <c r="FF30" s="1">
        <v>6.29</v>
      </c>
      <c r="FG30" s="1">
        <v>6.57</v>
      </c>
      <c r="FH30" s="1">
        <v>6.85</v>
      </c>
      <c r="FI30" s="1">
        <v>7.13</v>
      </c>
      <c r="FJ30" s="1">
        <v>7.41</v>
      </c>
      <c r="FK30" s="1">
        <v>7.81</v>
      </c>
      <c r="FL30" s="1">
        <v>8.2100000000000009</v>
      </c>
      <c r="FM30" s="1">
        <v>8.6199999999999992</v>
      </c>
      <c r="FN30" s="1">
        <v>9.02</v>
      </c>
      <c r="FO30" s="1">
        <v>9.42</v>
      </c>
      <c r="FP30" s="1">
        <v>9.91</v>
      </c>
      <c r="FQ30" s="1">
        <v>10.4</v>
      </c>
      <c r="FR30" s="1">
        <v>10.89</v>
      </c>
      <c r="FS30" s="1">
        <v>11.38</v>
      </c>
      <c r="FT30" s="1">
        <v>11.87</v>
      </c>
      <c r="FU30" s="9">
        <v>1.875</v>
      </c>
      <c r="FV30" s="1">
        <v>0</v>
      </c>
      <c r="FW30">
        <v>2.0230000000000001</v>
      </c>
      <c r="FX30" s="1">
        <v>0</v>
      </c>
      <c r="FY30" s="1">
        <v>0</v>
      </c>
      <c r="FZ30" s="9">
        <v>2.2919999999999998</v>
      </c>
      <c r="GA30" s="1">
        <v>0</v>
      </c>
      <c r="GB30">
        <v>2.5019999999999998</v>
      </c>
      <c r="GC30" s="9">
        <v>2.617</v>
      </c>
      <c r="GD30" s="1">
        <v>0</v>
      </c>
      <c r="GE30" s="9">
        <v>2.8650000000000002</v>
      </c>
      <c r="GF30" s="9">
        <v>2.988</v>
      </c>
      <c r="GG30">
        <v>3.1589999999999998</v>
      </c>
      <c r="GH30" s="1">
        <v>0</v>
      </c>
      <c r="GI30" s="1">
        <v>0</v>
      </c>
      <c r="GJ30" s="10">
        <v>0</v>
      </c>
      <c r="GK30" s="1">
        <v>0</v>
      </c>
      <c r="GL30" s="10">
        <v>0</v>
      </c>
      <c r="GM30" s="1">
        <v>0</v>
      </c>
      <c r="GN30" s="1">
        <v>0</v>
      </c>
      <c r="GO30" s="10">
        <v>0</v>
      </c>
      <c r="GP30" s="1">
        <v>0</v>
      </c>
      <c r="GQ30" s="1">
        <v>0</v>
      </c>
      <c r="GR30" s="1">
        <v>0</v>
      </c>
      <c r="GS30" s="1">
        <v>0</v>
      </c>
      <c r="GT30" s="10">
        <v>0</v>
      </c>
      <c r="GU30" s="1">
        <v>0</v>
      </c>
      <c r="GV30" s="1">
        <v>0</v>
      </c>
      <c r="GW30" s="1">
        <v>0</v>
      </c>
      <c r="GX30" s="1">
        <v>0</v>
      </c>
      <c r="GY30" s="10">
        <v>0</v>
      </c>
      <c r="GZ30" s="1">
        <v>2.74</v>
      </c>
      <c r="HA30" s="1">
        <v>3.15</v>
      </c>
      <c r="HB30" s="1">
        <v>3.62</v>
      </c>
      <c r="HC30" s="1">
        <v>4.1399999999999997</v>
      </c>
      <c r="HD30" s="1">
        <v>4.7300000000000004</v>
      </c>
      <c r="HE30" s="1">
        <v>5.38</v>
      </c>
      <c r="HF30" s="1">
        <v>6.12</v>
      </c>
      <c r="HG30" s="1">
        <v>6.93</v>
      </c>
      <c r="HH30" s="1">
        <v>7.83</v>
      </c>
      <c r="HI30" s="1">
        <v>8.82</v>
      </c>
      <c r="HJ30" s="1">
        <v>9.9</v>
      </c>
      <c r="HK30" s="1">
        <v>11.06</v>
      </c>
      <c r="HL30" s="1">
        <v>12.3</v>
      </c>
      <c r="HM30" s="1">
        <v>13.61</v>
      </c>
      <c r="HN30" s="1">
        <v>15</v>
      </c>
      <c r="HO30" s="1">
        <v>16.45</v>
      </c>
      <c r="HP30" s="1">
        <v>59.15</v>
      </c>
      <c r="HQ30">
        <v>43.59</v>
      </c>
      <c r="HR30" s="1">
        <v>36.159999999999997</v>
      </c>
      <c r="HS30" s="1">
        <v>32.07</v>
      </c>
      <c r="HT30" s="1">
        <v>29.69</v>
      </c>
      <c r="HU30" s="1">
        <v>29.04</v>
      </c>
      <c r="HV30" s="1">
        <v>32.340000000000003</v>
      </c>
      <c r="HW30" s="1">
        <v>104.17</v>
      </c>
      <c r="HX30" s="1">
        <v>70.23</v>
      </c>
      <c r="HY30" s="1">
        <v>54.78</v>
      </c>
      <c r="HZ30" s="1">
        <v>45.72</v>
      </c>
      <c r="IA30" s="1">
        <v>40.840000000000003</v>
      </c>
      <c r="IB30" s="1">
        <v>0</v>
      </c>
      <c r="IC30" s="1">
        <v>699.4</v>
      </c>
      <c r="ID30" s="1">
        <v>591.4</v>
      </c>
      <c r="IE30" s="1">
        <v>513.9</v>
      </c>
      <c r="IF30" s="1">
        <v>446.6</v>
      </c>
      <c r="IG30" s="1">
        <v>400.1</v>
      </c>
      <c r="IH30" s="1">
        <v>0</v>
      </c>
      <c r="II30" s="1">
        <v>0</v>
      </c>
      <c r="IJ30" s="1">
        <v>68.14</v>
      </c>
      <c r="IK30" s="1">
        <v>60.71</v>
      </c>
      <c r="IL30" s="1">
        <v>0</v>
      </c>
      <c r="IM30" s="1">
        <v>0</v>
      </c>
      <c r="IN30" s="1">
        <v>0</v>
      </c>
      <c r="IO30" s="1">
        <v>0</v>
      </c>
      <c r="IP30" s="1">
        <v>0</v>
      </c>
      <c r="IQ30" s="1">
        <v>0</v>
      </c>
      <c r="IR30" s="1">
        <v>0</v>
      </c>
      <c r="IS30" s="1">
        <v>34.78</v>
      </c>
      <c r="IT30" s="1">
        <v>0</v>
      </c>
      <c r="IU30" s="1">
        <v>0</v>
      </c>
      <c r="IV30" s="1">
        <v>0</v>
      </c>
      <c r="IW30" s="1">
        <v>0</v>
      </c>
      <c r="IX30" s="1">
        <v>0</v>
      </c>
      <c r="IY30" s="1">
        <v>0</v>
      </c>
      <c r="IZ30" s="1">
        <v>0</v>
      </c>
      <c r="JA30" s="1">
        <v>0</v>
      </c>
      <c r="JB30" s="1">
        <v>79.72</v>
      </c>
      <c r="JC30" s="1">
        <v>61.39</v>
      </c>
      <c r="JD30" s="1">
        <v>6.57</v>
      </c>
      <c r="JE30" s="1">
        <v>6.73</v>
      </c>
      <c r="JF30" s="1">
        <v>6.9</v>
      </c>
      <c r="JG30" s="1">
        <v>7.09</v>
      </c>
      <c r="JH30" s="1">
        <v>7.29</v>
      </c>
      <c r="JI30" s="1">
        <v>7.51</v>
      </c>
      <c r="JJ30" s="1">
        <v>30.22</v>
      </c>
      <c r="JK30" s="1">
        <v>36.409999999999997</v>
      </c>
      <c r="JL30" s="1">
        <v>42.69</v>
      </c>
      <c r="JM30" s="1">
        <v>49.11</v>
      </c>
      <c r="JN30" s="1">
        <v>55.69</v>
      </c>
      <c r="JO30" s="1">
        <v>62.46</v>
      </c>
      <c r="JP30" s="1">
        <v>93.36</v>
      </c>
      <c r="JQ30" s="1">
        <v>76.67</v>
      </c>
      <c r="JR30" s="1">
        <v>66.069999999999993</v>
      </c>
      <c r="JS30" s="1">
        <v>58.63</v>
      </c>
      <c r="JT30" s="1">
        <v>52.79</v>
      </c>
      <c r="JU30" s="1">
        <v>48.51</v>
      </c>
      <c r="JV30" s="1">
        <v>45.33</v>
      </c>
      <c r="JW30" s="1">
        <v>92.61</v>
      </c>
      <c r="JX30" s="1">
        <v>75.92</v>
      </c>
      <c r="JY30" s="1">
        <v>65.319999999999993</v>
      </c>
      <c r="JZ30" s="1">
        <v>57.88</v>
      </c>
      <c r="KA30" s="1">
        <v>52.04</v>
      </c>
      <c r="KB30" s="1">
        <v>47.76</v>
      </c>
      <c r="KC30" s="1">
        <v>44.58</v>
      </c>
    </row>
    <row r="31" spans="1:289" x14ac:dyDescent="0.15">
      <c r="A31" s="8">
        <v>39</v>
      </c>
      <c r="B31" s="1">
        <v>28.17</v>
      </c>
      <c r="C31" s="1">
        <v>100.36</v>
      </c>
      <c r="D31" s="1">
        <v>90.91</v>
      </c>
      <c r="E31" s="1">
        <v>83.11</v>
      </c>
      <c r="F31" s="1">
        <v>76.569999999999993</v>
      </c>
      <c r="G31" s="1">
        <v>71.03</v>
      </c>
      <c r="H31" s="1">
        <v>66.28</v>
      </c>
      <c r="I31" s="1">
        <v>62.17</v>
      </c>
      <c r="J31" s="1">
        <v>58.61</v>
      </c>
      <c r="K31" s="1">
        <v>55.48</v>
      </c>
      <c r="L31" s="1">
        <v>52.74</v>
      </c>
      <c r="M31" s="1">
        <v>50.32</v>
      </c>
      <c r="N31" s="1">
        <v>47.91</v>
      </c>
      <c r="O31" s="1">
        <v>45.75</v>
      </c>
      <c r="P31" s="1">
        <v>43.8</v>
      </c>
      <c r="Q31" s="1">
        <v>42.05</v>
      </c>
      <c r="R31" s="1">
        <v>40.47</v>
      </c>
      <c r="S31" s="1">
        <v>39.049999999999997</v>
      </c>
      <c r="T31" s="1">
        <v>37.76</v>
      </c>
      <c r="U31" s="1">
        <v>36.6</v>
      </c>
      <c r="V31" s="1">
        <v>35.549999999999997</v>
      </c>
      <c r="W31" s="1">
        <v>34.6</v>
      </c>
      <c r="X31" s="1">
        <v>33.74</v>
      </c>
      <c r="Y31" s="1">
        <v>32.97</v>
      </c>
      <c r="Z31" s="1">
        <v>32.28</v>
      </c>
      <c r="AA31" s="1">
        <v>31.67</v>
      </c>
      <c r="AB31" s="1">
        <v>31.12</v>
      </c>
      <c r="AC31" s="1">
        <v>30.63</v>
      </c>
      <c r="AD31" s="10">
        <v>0</v>
      </c>
      <c r="AE31" s="10">
        <v>0</v>
      </c>
      <c r="AF31" s="10">
        <v>0</v>
      </c>
      <c r="AG31" s="10">
        <v>0</v>
      </c>
      <c r="AH31" s="10">
        <v>0</v>
      </c>
      <c r="AI31" s="10">
        <v>0</v>
      </c>
      <c r="AJ31" s="10">
        <v>0</v>
      </c>
      <c r="AK31" s="10">
        <v>0</v>
      </c>
      <c r="AL31" s="10">
        <v>0</v>
      </c>
      <c r="AM31" s="10">
        <v>0</v>
      </c>
      <c r="AN31" s="10">
        <v>0</v>
      </c>
      <c r="AO31" s="10">
        <v>0</v>
      </c>
      <c r="AP31" s="10">
        <v>0</v>
      </c>
      <c r="AQ31" s="10">
        <v>0</v>
      </c>
      <c r="AR31" s="10">
        <v>0</v>
      </c>
      <c r="AS31" s="10">
        <v>0</v>
      </c>
      <c r="AT31" s="10">
        <v>0</v>
      </c>
      <c r="AU31" s="10">
        <v>0</v>
      </c>
      <c r="AV31" s="10">
        <v>0</v>
      </c>
      <c r="AW31" s="1">
        <v>66.16</v>
      </c>
      <c r="AX31" s="1">
        <v>58.82</v>
      </c>
      <c r="AY31" s="1">
        <v>53.2</v>
      </c>
      <c r="AZ31" s="1">
        <v>49.12</v>
      </c>
      <c r="BA31" s="1">
        <v>46.11</v>
      </c>
      <c r="BB31" s="6">
        <v>106.6</v>
      </c>
      <c r="BC31" s="6">
        <v>97.2</v>
      </c>
      <c r="BD31" s="6">
        <v>89.5</v>
      </c>
      <c r="BE31" s="6">
        <v>83.12</v>
      </c>
      <c r="BF31" s="6">
        <v>77.78</v>
      </c>
      <c r="BG31" s="6">
        <v>73.290000000000006</v>
      </c>
      <c r="BH31" s="6">
        <v>69.489999999999995</v>
      </c>
      <c r="BI31" s="6">
        <v>66.260000000000005</v>
      </c>
      <c r="BJ31" s="6">
        <v>63.52</v>
      </c>
      <c r="BK31" s="6">
        <v>61.2</v>
      </c>
      <c r="BL31" s="6">
        <v>59.24</v>
      </c>
      <c r="BM31" s="6">
        <v>57.31</v>
      </c>
      <c r="BN31" s="6">
        <v>55.65</v>
      </c>
      <c r="BO31" s="6">
        <v>54.27</v>
      </c>
      <c r="BP31" s="6">
        <v>53.11</v>
      </c>
      <c r="BQ31" s="1">
        <v>111.69</v>
      </c>
      <c r="BR31" s="1">
        <v>79.92</v>
      </c>
      <c r="BS31" s="1">
        <v>67.37</v>
      </c>
      <c r="BT31" s="1">
        <v>61.14</v>
      </c>
      <c r="BU31" s="1">
        <v>58.46</v>
      </c>
      <c r="BV31" s="1">
        <v>0</v>
      </c>
      <c r="BW31" s="1">
        <v>108.32</v>
      </c>
      <c r="BX31" s="1">
        <v>75.84</v>
      </c>
      <c r="BY31" s="1">
        <v>62.12</v>
      </c>
      <c r="BZ31" s="1">
        <v>54.89</v>
      </c>
      <c r="CA31" s="6">
        <v>110.03</v>
      </c>
      <c r="CB31" s="6">
        <v>101.29</v>
      </c>
      <c r="CC31" s="6">
        <v>94.22</v>
      </c>
      <c r="CD31" s="6">
        <v>88.38</v>
      </c>
      <c r="CE31" s="6">
        <v>83.55</v>
      </c>
      <c r="CF31" s="6">
        <v>79.489999999999995</v>
      </c>
      <c r="CG31" s="6">
        <v>76.459999999999994</v>
      </c>
      <c r="CH31" s="1">
        <v>73.92</v>
      </c>
      <c r="CI31" s="1">
        <v>71.86</v>
      </c>
      <c r="CJ31" s="1">
        <v>70.13</v>
      </c>
      <c r="CK31" s="1">
        <v>68.75</v>
      </c>
      <c r="CL31" s="1">
        <v>67.790000000000006</v>
      </c>
      <c r="CM31" s="1">
        <v>66.8</v>
      </c>
      <c r="CN31" s="1">
        <v>66.3</v>
      </c>
      <c r="CO31" s="1">
        <v>66.069999999999993</v>
      </c>
      <c r="CP31" s="1">
        <v>100.48</v>
      </c>
      <c r="CQ31" s="5">
        <v>90.97</v>
      </c>
      <c r="CR31" s="5">
        <v>83.1</v>
      </c>
      <c r="CS31" s="1">
        <v>76.5</v>
      </c>
      <c r="CT31" s="1">
        <v>70.88</v>
      </c>
      <c r="CU31" s="1">
        <v>66.05</v>
      </c>
      <c r="CV31" s="1">
        <v>61.86</v>
      </c>
      <c r="CW31" s="1">
        <v>58.2</v>
      </c>
      <c r="CX31" s="1">
        <v>54.98</v>
      </c>
      <c r="CY31" s="1">
        <v>52.13</v>
      </c>
      <c r="CZ31" s="1">
        <v>49.6</v>
      </c>
      <c r="DA31" s="1">
        <v>47.05</v>
      </c>
      <c r="DB31" s="1">
        <v>44.74</v>
      </c>
      <c r="DC31" s="1">
        <v>42.64</v>
      </c>
      <c r="DD31" s="1">
        <v>40.72</v>
      </c>
      <c r="DE31">
        <v>88.63</v>
      </c>
      <c r="DF31">
        <v>85.83</v>
      </c>
      <c r="DG31">
        <v>83.65</v>
      </c>
      <c r="DH31" s="1">
        <v>82</v>
      </c>
      <c r="DI31">
        <v>80.81</v>
      </c>
      <c r="DJ31" s="1">
        <v>80.010000000000005</v>
      </c>
      <c r="DK31" s="1">
        <v>79.260000000000005</v>
      </c>
      <c r="DL31" s="1">
        <v>78.81</v>
      </c>
      <c r="DM31" s="1">
        <v>78.599999999999994</v>
      </c>
      <c r="DN31" s="1">
        <v>78.61</v>
      </c>
      <c r="DO31" s="1">
        <v>78.81</v>
      </c>
      <c r="DP31" s="1">
        <v>8</v>
      </c>
      <c r="DQ31" s="1">
        <v>8</v>
      </c>
      <c r="DR31" s="1">
        <v>8.5500000000000007</v>
      </c>
      <c r="DS31" s="1">
        <v>12.2</v>
      </c>
      <c r="DT31" s="1">
        <v>14.15</v>
      </c>
      <c r="DU31" s="1">
        <v>3.98</v>
      </c>
      <c r="DV31" s="1">
        <v>4.3</v>
      </c>
      <c r="DW31" s="1">
        <v>4.63</v>
      </c>
      <c r="DX31" s="1">
        <v>4.95</v>
      </c>
      <c r="DY31" s="1">
        <v>5.28</v>
      </c>
      <c r="DZ31" s="1">
        <v>5.6</v>
      </c>
      <c r="EA31" s="1">
        <v>6.08</v>
      </c>
      <c r="EB31" s="1">
        <v>6.55</v>
      </c>
      <c r="EC31" s="1">
        <v>7.03</v>
      </c>
      <c r="ED31" s="1">
        <v>7.5</v>
      </c>
      <c r="EE31" s="1">
        <v>7.98</v>
      </c>
      <c r="EF31" s="1">
        <v>8.64</v>
      </c>
      <c r="EG31" s="1">
        <v>9.19</v>
      </c>
      <c r="EH31" s="1">
        <v>9.86</v>
      </c>
      <c r="EI31" s="1">
        <v>10.56</v>
      </c>
      <c r="EJ31" s="1">
        <v>11.3</v>
      </c>
      <c r="EK31" s="1">
        <v>12.08</v>
      </c>
      <c r="EL31" s="10">
        <v>0</v>
      </c>
      <c r="EM31" s="10">
        <v>0</v>
      </c>
      <c r="EN31" s="10">
        <v>0</v>
      </c>
      <c r="EO31" s="10">
        <v>0</v>
      </c>
      <c r="EP31" s="10">
        <v>0</v>
      </c>
      <c r="EQ31" s="10">
        <v>0</v>
      </c>
      <c r="ER31" s="10">
        <v>0</v>
      </c>
      <c r="ES31" s="10">
        <v>0</v>
      </c>
      <c r="ET31" s="10">
        <v>0</v>
      </c>
      <c r="EU31" s="10">
        <v>0</v>
      </c>
      <c r="EV31" s="10">
        <v>0</v>
      </c>
      <c r="EW31" s="10">
        <v>0</v>
      </c>
      <c r="EX31" s="10">
        <v>0</v>
      </c>
      <c r="EY31" s="10">
        <v>0</v>
      </c>
      <c r="EZ31" s="10">
        <v>0</v>
      </c>
      <c r="FA31" s="10">
        <v>0</v>
      </c>
      <c r="FB31" s="10">
        <v>0</v>
      </c>
      <c r="FC31" s="10">
        <v>0</v>
      </c>
      <c r="FD31" s="10">
        <v>0</v>
      </c>
      <c r="FE31" s="1">
        <v>6.46</v>
      </c>
      <c r="FF31" s="1">
        <v>6.78</v>
      </c>
      <c r="FG31" s="1">
        <v>7.1</v>
      </c>
      <c r="FH31" s="1">
        <v>7.42</v>
      </c>
      <c r="FI31" s="1">
        <v>7.74</v>
      </c>
      <c r="FJ31" s="1">
        <v>8.06</v>
      </c>
      <c r="FK31" s="1">
        <v>8.51</v>
      </c>
      <c r="FL31" s="1">
        <v>8.9600000000000009</v>
      </c>
      <c r="FM31" s="1">
        <v>9.4</v>
      </c>
      <c r="FN31" s="1">
        <v>9.85</v>
      </c>
      <c r="FO31" s="1">
        <v>10.3</v>
      </c>
      <c r="FP31" s="1">
        <v>10.82</v>
      </c>
      <c r="FQ31" s="1">
        <v>11.35</v>
      </c>
      <c r="FR31" s="1">
        <v>11.87</v>
      </c>
      <c r="FS31" s="1">
        <v>12.4</v>
      </c>
      <c r="FT31" s="1">
        <v>12.92</v>
      </c>
      <c r="FU31" s="9">
        <v>1.9790000000000001</v>
      </c>
      <c r="FV31">
        <v>2.056</v>
      </c>
      <c r="FW31" s="1">
        <v>0</v>
      </c>
      <c r="FX31" s="1">
        <v>0</v>
      </c>
      <c r="FY31" s="1">
        <v>0</v>
      </c>
      <c r="FZ31" s="9">
        <v>2.448</v>
      </c>
      <c r="GA31">
        <v>2.5670000000000002</v>
      </c>
      <c r="GB31" s="1">
        <v>0</v>
      </c>
      <c r="GC31" s="9">
        <v>2.8290000000000002</v>
      </c>
      <c r="GD31" s="1">
        <v>0</v>
      </c>
      <c r="GE31" s="9">
        <v>3.125</v>
      </c>
      <c r="GF31" s="9">
        <v>3.2829999999999999</v>
      </c>
      <c r="GG31" s="1">
        <v>0</v>
      </c>
      <c r="GH31" s="1">
        <v>0</v>
      </c>
      <c r="GI31" s="10">
        <v>0</v>
      </c>
      <c r="GJ31" s="10">
        <v>0</v>
      </c>
      <c r="GK31" s="1">
        <v>0</v>
      </c>
      <c r="GL31" s="10">
        <v>0</v>
      </c>
      <c r="GM31" s="1">
        <v>0</v>
      </c>
      <c r="GN31" s="1">
        <v>0</v>
      </c>
      <c r="GO31" s="10">
        <v>0</v>
      </c>
      <c r="GP31" s="1">
        <v>0</v>
      </c>
      <c r="GQ31" s="1">
        <v>0</v>
      </c>
      <c r="GR31" s="1">
        <v>0</v>
      </c>
      <c r="GS31" s="1">
        <v>0</v>
      </c>
      <c r="GT31" s="10">
        <v>0</v>
      </c>
      <c r="GU31" s="1">
        <v>0</v>
      </c>
      <c r="GV31" s="1">
        <v>0</v>
      </c>
      <c r="GW31" s="1">
        <v>0</v>
      </c>
      <c r="GX31" s="1">
        <v>0</v>
      </c>
      <c r="GY31" s="10">
        <v>0</v>
      </c>
      <c r="GZ31" s="1">
        <v>3.02</v>
      </c>
      <c r="HA31" s="1">
        <v>3.49</v>
      </c>
      <c r="HB31" s="1">
        <v>4.01</v>
      </c>
      <c r="HC31" s="1">
        <v>4.5999999999999996</v>
      </c>
      <c r="HD31" s="1">
        <v>5.27</v>
      </c>
      <c r="HE31" s="1">
        <v>6.01</v>
      </c>
      <c r="HF31" s="1">
        <v>6.83</v>
      </c>
      <c r="HG31" s="1">
        <v>7.74</v>
      </c>
      <c r="HH31" s="1">
        <v>8.75</v>
      </c>
      <c r="HI31" s="1">
        <v>9.84</v>
      </c>
      <c r="HJ31" s="1">
        <v>11.01</v>
      </c>
      <c r="HK31" s="1">
        <v>12.27</v>
      </c>
      <c r="HL31" s="1">
        <v>13.61</v>
      </c>
      <c r="HM31" s="1">
        <v>15.02</v>
      </c>
      <c r="HN31" s="1">
        <v>16.5</v>
      </c>
      <c r="HO31" s="1">
        <v>18.04</v>
      </c>
      <c r="HP31" s="1">
        <v>60.57</v>
      </c>
      <c r="HQ31">
        <v>44.69</v>
      </c>
      <c r="HR31" s="1">
        <v>37.14</v>
      </c>
      <c r="HS31" s="1">
        <v>33</v>
      </c>
      <c r="HT31" s="1">
        <v>30.62</v>
      </c>
      <c r="HU31" s="1">
        <v>30.28</v>
      </c>
      <c r="HV31" s="1">
        <v>33.74</v>
      </c>
      <c r="HW31" s="1">
        <v>104.5</v>
      </c>
      <c r="HX31" s="1">
        <v>70.709999999999994</v>
      </c>
      <c r="HY31" s="1">
        <v>55.46</v>
      </c>
      <c r="HZ31" s="1">
        <v>46.62</v>
      </c>
      <c r="IA31" s="1">
        <v>41.95</v>
      </c>
      <c r="IB31" s="1">
        <v>0</v>
      </c>
      <c r="IC31" s="1">
        <v>699.4</v>
      </c>
      <c r="ID31" s="1">
        <v>591.4</v>
      </c>
      <c r="IE31" s="1">
        <v>513.9</v>
      </c>
      <c r="IF31" s="1">
        <v>446.6</v>
      </c>
      <c r="IG31" s="1">
        <v>400.1</v>
      </c>
      <c r="IH31" s="1">
        <v>0</v>
      </c>
      <c r="II31" s="1">
        <v>0</v>
      </c>
      <c r="IJ31" s="1">
        <v>68.66</v>
      </c>
      <c r="IK31" s="1">
        <v>61.32</v>
      </c>
      <c r="IL31" s="1">
        <v>0</v>
      </c>
      <c r="IM31" s="1">
        <v>0</v>
      </c>
      <c r="IN31" s="1">
        <v>0</v>
      </c>
      <c r="IO31" s="1">
        <v>0</v>
      </c>
      <c r="IP31" s="1">
        <v>0</v>
      </c>
      <c r="IQ31" s="1">
        <v>0</v>
      </c>
      <c r="IR31" s="1">
        <v>36.119999999999997</v>
      </c>
      <c r="IS31" s="1">
        <v>0</v>
      </c>
      <c r="IT31" s="1">
        <v>0</v>
      </c>
      <c r="IU31" s="1">
        <v>0</v>
      </c>
      <c r="IV31" s="1">
        <v>0</v>
      </c>
      <c r="IW31" s="1">
        <v>0</v>
      </c>
      <c r="IX31" s="1">
        <v>0</v>
      </c>
      <c r="IY31" s="1">
        <v>0</v>
      </c>
      <c r="IZ31" s="1">
        <v>0</v>
      </c>
      <c r="JA31" s="1">
        <v>0</v>
      </c>
      <c r="JB31" s="1">
        <v>79.930000000000007</v>
      </c>
      <c r="JC31" s="1">
        <v>61.8</v>
      </c>
      <c r="JD31" s="1">
        <v>6.88</v>
      </c>
      <c r="JE31" s="1">
        <v>7.07</v>
      </c>
      <c r="JF31" s="1">
        <v>7.27</v>
      </c>
      <c r="JG31" s="1">
        <v>7.48</v>
      </c>
      <c r="JH31" s="1">
        <v>7.71</v>
      </c>
      <c r="JI31" s="1">
        <v>7.96</v>
      </c>
      <c r="JJ31" s="1">
        <v>31.66</v>
      </c>
      <c r="JK31" s="1">
        <v>38.21</v>
      </c>
      <c r="JL31" s="1">
        <v>44.91</v>
      </c>
      <c r="JM31" s="1">
        <v>51.76</v>
      </c>
      <c r="JN31" s="1">
        <v>58.82</v>
      </c>
      <c r="JO31" s="1">
        <v>66.12</v>
      </c>
      <c r="JP31" s="1">
        <v>93.66</v>
      </c>
      <c r="JQ31" s="1">
        <v>77.06</v>
      </c>
      <c r="JR31" s="1">
        <v>66.540000000000006</v>
      </c>
      <c r="JS31" s="1">
        <v>59.2</v>
      </c>
      <c r="JT31" s="1">
        <v>53.44</v>
      </c>
      <c r="JU31" s="1">
        <v>49.23</v>
      </c>
      <c r="JV31" s="1">
        <v>46.13</v>
      </c>
      <c r="JW31" s="1">
        <v>92.91</v>
      </c>
      <c r="JX31" s="1">
        <v>76.31</v>
      </c>
      <c r="JY31" s="1">
        <v>65.790000000000006</v>
      </c>
      <c r="JZ31" s="1">
        <v>58.45</v>
      </c>
      <c r="KA31" s="1">
        <v>52.69</v>
      </c>
      <c r="KB31" s="1">
        <v>48.48</v>
      </c>
      <c r="KC31" s="1">
        <v>45.38</v>
      </c>
    </row>
    <row r="32" spans="1:289" x14ac:dyDescent="0.15">
      <c r="A32" s="8">
        <v>40</v>
      </c>
      <c r="B32" s="1">
        <v>29.26</v>
      </c>
      <c r="C32" s="1">
        <v>100.55</v>
      </c>
      <c r="D32" s="1">
        <v>91.12</v>
      </c>
      <c r="E32" s="1">
        <v>83.33</v>
      </c>
      <c r="F32" s="1">
        <v>76.8</v>
      </c>
      <c r="G32" s="1">
        <v>71.28</v>
      </c>
      <c r="H32" s="1">
        <v>66.540000000000006</v>
      </c>
      <c r="I32" s="1">
        <v>62.46</v>
      </c>
      <c r="J32" s="1">
        <v>58.92</v>
      </c>
      <c r="K32" s="1">
        <v>55.82</v>
      </c>
      <c r="L32" s="1">
        <v>53.1</v>
      </c>
      <c r="M32" s="1">
        <v>50.71</v>
      </c>
      <c r="N32" s="1">
        <v>48.32</v>
      </c>
      <c r="O32" s="1">
        <v>46.18</v>
      </c>
      <c r="P32" s="1">
        <v>44.26</v>
      </c>
      <c r="Q32" s="1">
        <v>42.54</v>
      </c>
      <c r="R32" s="1">
        <v>40.98</v>
      </c>
      <c r="S32" s="1">
        <v>39.58</v>
      </c>
      <c r="T32" s="1">
        <v>38.32</v>
      </c>
      <c r="U32" s="1">
        <v>37.18</v>
      </c>
      <c r="V32" s="1">
        <v>36.159999999999997</v>
      </c>
      <c r="W32" s="1">
        <v>35.24</v>
      </c>
      <c r="X32" s="1">
        <v>34.409999999999997</v>
      </c>
      <c r="Y32" s="1">
        <v>33.67</v>
      </c>
      <c r="Z32" s="1">
        <v>33</v>
      </c>
      <c r="AA32" s="1">
        <v>32.409999999999997</v>
      </c>
      <c r="AB32" s="1">
        <v>31.89</v>
      </c>
      <c r="AC32" s="10">
        <v>0</v>
      </c>
      <c r="AD32" s="10">
        <v>0</v>
      </c>
      <c r="AE32" s="1">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
        <v>66.75</v>
      </c>
      <c r="AX32" s="1">
        <v>59.51</v>
      </c>
      <c r="AY32" s="1">
        <v>53.97</v>
      </c>
      <c r="AZ32" s="1">
        <v>49.96</v>
      </c>
      <c r="BA32" s="1">
        <v>47.03</v>
      </c>
      <c r="BB32" s="6">
        <v>106.94</v>
      </c>
      <c r="BC32" s="6">
        <v>97.57</v>
      </c>
      <c r="BD32" s="6">
        <v>89.91</v>
      </c>
      <c r="BE32" s="6">
        <v>83.57</v>
      </c>
      <c r="BF32" s="6">
        <v>78.28</v>
      </c>
      <c r="BG32" s="6">
        <v>73.84</v>
      </c>
      <c r="BH32" s="6">
        <v>70.09</v>
      </c>
      <c r="BI32" s="6">
        <v>66.92</v>
      </c>
      <c r="BJ32" s="6">
        <v>64.239999999999995</v>
      </c>
      <c r="BK32" s="6">
        <v>61.99</v>
      </c>
      <c r="BL32" s="6">
        <v>60.1</v>
      </c>
      <c r="BM32" s="6">
        <v>58.24</v>
      </c>
      <c r="BN32" s="6">
        <v>56.66</v>
      </c>
      <c r="BO32" s="6">
        <v>55.35</v>
      </c>
      <c r="BP32" s="6">
        <v>54.27</v>
      </c>
      <c r="BQ32" s="1">
        <v>112.85</v>
      </c>
      <c r="BR32" s="1">
        <v>81.540000000000006</v>
      </c>
      <c r="BS32" s="1">
        <v>69.44</v>
      </c>
      <c r="BT32" s="1">
        <v>63.5</v>
      </c>
      <c r="BU32" s="1">
        <v>60.98</v>
      </c>
      <c r="BV32" s="1">
        <v>0</v>
      </c>
      <c r="BW32" s="1">
        <v>109.02</v>
      </c>
      <c r="BX32" s="1">
        <v>76.84</v>
      </c>
      <c r="BY32" s="1">
        <v>63.48</v>
      </c>
      <c r="BZ32" s="1">
        <v>56.53</v>
      </c>
      <c r="CA32" s="6">
        <v>110.7</v>
      </c>
      <c r="CB32" s="6">
        <v>102.07</v>
      </c>
      <c r="CC32" s="6">
        <v>95.09</v>
      </c>
      <c r="CD32" s="6">
        <v>89.36</v>
      </c>
      <c r="CE32" s="6">
        <v>84.64</v>
      </c>
      <c r="CF32" s="6">
        <v>80.680000000000007</v>
      </c>
      <c r="CG32" s="6">
        <v>77.8</v>
      </c>
      <c r="CH32" s="1">
        <v>75.42</v>
      </c>
      <c r="CI32" s="1">
        <v>73.510000000000005</v>
      </c>
      <c r="CJ32" s="1">
        <v>71.94</v>
      </c>
      <c r="CK32" s="1">
        <v>70.709999999999994</v>
      </c>
      <c r="CL32" s="1">
        <v>69.760000000000005</v>
      </c>
      <c r="CM32" s="1">
        <v>69.14</v>
      </c>
      <c r="CN32" s="1">
        <v>68.8</v>
      </c>
      <c r="CO32" s="1">
        <v>68.760000000000005</v>
      </c>
      <c r="CP32" s="1">
        <v>100.62</v>
      </c>
      <c r="CQ32" s="5">
        <v>91.12</v>
      </c>
      <c r="CR32" s="5">
        <v>83.26</v>
      </c>
      <c r="CS32" s="1">
        <v>76.66</v>
      </c>
      <c r="CT32" s="1">
        <v>71.05</v>
      </c>
      <c r="CU32" s="1">
        <v>66.23</v>
      </c>
      <c r="CV32" s="1">
        <v>62.06</v>
      </c>
      <c r="CW32" s="1">
        <v>58.41</v>
      </c>
      <c r="CX32" s="1">
        <v>55.2</v>
      </c>
      <c r="CY32" s="1">
        <v>52.36</v>
      </c>
      <c r="CZ32" s="1">
        <v>49.83</v>
      </c>
      <c r="DA32" s="1">
        <v>47.29</v>
      </c>
      <c r="DB32" s="1">
        <v>44.99</v>
      </c>
      <c r="DC32" s="1">
        <v>42.9</v>
      </c>
      <c r="DD32" s="1">
        <v>40.99</v>
      </c>
      <c r="DE32">
        <v>91.37</v>
      </c>
      <c r="DF32">
        <v>88.75</v>
      </c>
      <c r="DG32">
        <v>86.76</v>
      </c>
      <c r="DH32">
        <v>85.29</v>
      </c>
      <c r="DI32">
        <v>84.27</v>
      </c>
      <c r="DJ32" s="1">
        <v>83.63</v>
      </c>
      <c r="DK32" s="1">
        <v>83.03</v>
      </c>
      <c r="DL32" s="1">
        <v>82.72</v>
      </c>
      <c r="DM32" s="1">
        <v>82.65</v>
      </c>
      <c r="DN32" s="1">
        <v>82.79</v>
      </c>
      <c r="DO32" s="1">
        <v>83.11</v>
      </c>
      <c r="DP32" s="1">
        <v>8</v>
      </c>
      <c r="DQ32" s="1">
        <v>8</v>
      </c>
      <c r="DR32" s="1">
        <v>9.5</v>
      </c>
      <c r="DS32" s="1">
        <v>13.53</v>
      </c>
      <c r="DT32" s="1">
        <v>15.6</v>
      </c>
      <c r="DU32" s="1">
        <v>4.2</v>
      </c>
      <c r="DV32" s="1">
        <v>4.5599999999999996</v>
      </c>
      <c r="DW32" s="1">
        <v>4.93</v>
      </c>
      <c r="DX32" s="1">
        <v>5.29</v>
      </c>
      <c r="DY32" s="1">
        <v>5.66</v>
      </c>
      <c r="DZ32" s="1">
        <v>6.02</v>
      </c>
      <c r="EA32" s="1">
        <v>6.56</v>
      </c>
      <c r="EB32" s="1">
        <v>7.09</v>
      </c>
      <c r="EC32" s="1">
        <v>7.63</v>
      </c>
      <c r="ED32" s="1">
        <v>8.16</v>
      </c>
      <c r="EE32" s="1">
        <v>8.6999999999999993</v>
      </c>
      <c r="EF32" s="1">
        <v>9.36</v>
      </c>
      <c r="EG32" s="1">
        <v>10.06</v>
      </c>
      <c r="EH32" s="1">
        <v>10.79</v>
      </c>
      <c r="EI32" s="1">
        <v>11.57</v>
      </c>
      <c r="EJ32" s="1">
        <v>12.39</v>
      </c>
      <c r="EK32" s="10">
        <v>0</v>
      </c>
      <c r="EL32" s="10">
        <v>0</v>
      </c>
      <c r="EM32" s="10">
        <v>0</v>
      </c>
      <c r="EN32" s="10">
        <v>0</v>
      </c>
      <c r="EO32" s="1">
        <v>0</v>
      </c>
      <c r="EP32" s="10">
        <v>0</v>
      </c>
      <c r="EQ32" s="10">
        <v>0</v>
      </c>
      <c r="ER32" s="10">
        <v>0</v>
      </c>
      <c r="ES32" s="10">
        <v>0</v>
      </c>
      <c r="ET32" s="10">
        <v>0</v>
      </c>
      <c r="EU32" s="10">
        <v>0</v>
      </c>
      <c r="EV32" s="10">
        <v>0</v>
      </c>
      <c r="EW32" s="10">
        <v>0</v>
      </c>
      <c r="EX32" s="10">
        <v>0</v>
      </c>
      <c r="EY32" s="10">
        <v>0</v>
      </c>
      <c r="EZ32" s="10">
        <v>0</v>
      </c>
      <c r="FA32" s="10">
        <v>0</v>
      </c>
      <c r="FB32" s="10">
        <v>0</v>
      </c>
      <c r="FC32" s="10">
        <v>0</v>
      </c>
      <c r="FD32" s="10">
        <v>0</v>
      </c>
      <c r="FE32" s="1">
        <v>6.97</v>
      </c>
      <c r="FF32" s="1">
        <v>7.34</v>
      </c>
      <c r="FG32" s="1">
        <v>7.7</v>
      </c>
      <c r="FH32" s="1">
        <v>8.07</v>
      </c>
      <c r="FI32" s="1">
        <v>8.43</v>
      </c>
      <c r="FJ32" s="1">
        <v>8.8000000000000007</v>
      </c>
      <c r="FK32" s="1">
        <v>9.2899999999999991</v>
      </c>
      <c r="FL32" s="1">
        <v>9.7899999999999991</v>
      </c>
      <c r="FM32" s="1">
        <v>10.28</v>
      </c>
      <c r="FN32" s="1">
        <v>10.78</v>
      </c>
      <c r="FO32" s="1">
        <v>11.27</v>
      </c>
      <c r="FP32" s="1">
        <v>11.83</v>
      </c>
      <c r="FQ32" s="1">
        <v>12.38</v>
      </c>
      <c r="FR32" s="1">
        <v>12.94</v>
      </c>
      <c r="FS32" s="1">
        <v>13.49</v>
      </c>
      <c r="FT32" s="1">
        <v>14.05</v>
      </c>
      <c r="FU32" s="9">
        <v>2.1349999999999998</v>
      </c>
      <c r="FV32" s="1">
        <v>0</v>
      </c>
      <c r="FW32" s="1">
        <v>0</v>
      </c>
      <c r="FX32" s="1">
        <v>0</v>
      </c>
      <c r="FY32" s="1">
        <v>0</v>
      </c>
      <c r="FZ32" s="9">
        <v>2.6560000000000001</v>
      </c>
      <c r="GA32" s="1">
        <v>0</v>
      </c>
      <c r="GB32" s="1">
        <v>0</v>
      </c>
      <c r="GC32" s="9">
        <v>3.0680000000000001</v>
      </c>
      <c r="GD32" s="1">
        <v>0</v>
      </c>
      <c r="GE32" s="9">
        <v>3.3849999999999998</v>
      </c>
      <c r="GF32" s="1">
        <v>0</v>
      </c>
      <c r="GG32" s="1">
        <v>0</v>
      </c>
      <c r="GH32" s="1">
        <v>0</v>
      </c>
      <c r="GI32" s="10">
        <v>0</v>
      </c>
      <c r="GJ32" s="10">
        <v>0</v>
      </c>
      <c r="GK32" s="1">
        <v>0</v>
      </c>
      <c r="GL32" s="10">
        <v>0</v>
      </c>
      <c r="GM32" s="1">
        <v>0</v>
      </c>
      <c r="GN32" s="1">
        <v>0</v>
      </c>
      <c r="GO32" s="10">
        <v>0</v>
      </c>
      <c r="GP32" s="1">
        <v>0</v>
      </c>
      <c r="GQ32" s="1">
        <v>0</v>
      </c>
      <c r="GR32" s="1">
        <v>0</v>
      </c>
      <c r="GS32" s="1">
        <v>0</v>
      </c>
      <c r="GT32" s="10">
        <v>0</v>
      </c>
      <c r="GU32" s="1">
        <v>0</v>
      </c>
      <c r="GV32" s="1">
        <v>0</v>
      </c>
      <c r="GW32" s="1">
        <v>0</v>
      </c>
      <c r="GX32" s="1">
        <v>0</v>
      </c>
      <c r="GY32" s="10">
        <v>0</v>
      </c>
      <c r="GZ32" s="1">
        <v>3.34</v>
      </c>
      <c r="HA32" s="1">
        <v>3.87</v>
      </c>
      <c r="HB32" s="1">
        <v>4.46</v>
      </c>
      <c r="HC32" s="1">
        <v>5.13</v>
      </c>
      <c r="HD32" s="1">
        <v>5.88</v>
      </c>
      <c r="HE32" s="1">
        <v>6.71</v>
      </c>
      <c r="HF32" s="1">
        <v>7.64</v>
      </c>
      <c r="HG32" s="1">
        <v>8.65</v>
      </c>
      <c r="HH32" s="1">
        <v>9.76</v>
      </c>
      <c r="HI32" s="1">
        <v>10.95</v>
      </c>
      <c r="HJ32" s="1">
        <v>12.23</v>
      </c>
      <c r="HK32" s="1">
        <v>13.59</v>
      </c>
      <c r="HL32" s="1">
        <v>15.02</v>
      </c>
      <c r="HM32" s="1">
        <v>16.52</v>
      </c>
      <c r="HN32" s="1">
        <v>18.09</v>
      </c>
      <c r="HO32" s="1">
        <v>19.73</v>
      </c>
      <c r="HP32" s="1">
        <v>62.02</v>
      </c>
      <c r="HQ32">
        <v>45.82</v>
      </c>
      <c r="HR32" s="1">
        <v>38.15</v>
      </c>
      <c r="HS32" s="1">
        <v>33.97</v>
      </c>
      <c r="HT32" s="1">
        <v>31.59</v>
      </c>
      <c r="HU32" s="1">
        <v>31.59</v>
      </c>
      <c r="HV32" s="1">
        <v>35.24</v>
      </c>
      <c r="HW32" s="1">
        <v>104.88</v>
      </c>
      <c r="HX32" s="1">
        <v>71.25</v>
      </c>
      <c r="HY32" s="1">
        <v>56.22</v>
      </c>
      <c r="HZ32" s="1">
        <v>47.63</v>
      </c>
      <c r="IA32" s="1">
        <v>43.18</v>
      </c>
      <c r="IB32" s="1">
        <v>0</v>
      </c>
      <c r="IC32" s="1">
        <v>699.4</v>
      </c>
      <c r="ID32" s="1">
        <v>591.4</v>
      </c>
      <c r="IE32" s="1">
        <v>513.9</v>
      </c>
      <c r="IF32" s="1">
        <v>446.6</v>
      </c>
      <c r="IG32" s="1">
        <v>400.1</v>
      </c>
      <c r="IH32" s="1">
        <v>0</v>
      </c>
      <c r="II32" s="1">
        <v>0</v>
      </c>
      <c r="IJ32" s="1">
        <v>69.25</v>
      </c>
      <c r="IK32" s="1">
        <v>62.01</v>
      </c>
      <c r="IL32" s="1">
        <v>0</v>
      </c>
      <c r="IM32" s="1">
        <v>0</v>
      </c>
      <c r="IN32" s="1">
        <v>0</v>
      </c>
      <c r="IO32" s="1">
        <v>0</v>
      </c>
      <c r="IP32" s="1">
        <v>0</v>
      </c>
      <c r="IQ32" s="1">
        <v>37.57</v>
      </c>
      <c r="IR32" s="1">
        <v>0</v>
      </c>
      <c r="IS32" s="1">
        <v>0</v>
      </c>
      <c r="IT32" s="1">
        <v>0</v>
      </c>
      <c r="IU32" s="1">
        <v>0</v>
      </c>
      <c r="IV32" s="1">
        <v>0</v>
      </c>
      <c r="IW32" s="1">
        <v>0</v>
      </c>
      <c r="IX32" s="1">
        <v>0</v>
      </c>
      <c r="IY32" s="1">
        <v>0</v>
      </c>
      <c r="IZ32" s="1">
        <v>0</v>
      </c>
      <c r="JA32" s="1">
        <v>0</v>
      </c>
      <c r="JB32" s="1">
        <v>80.239999999999995</v>
      </c>
      <c r="JC32" s="1">
        <v>62.21</v>
      </c>
      <c r="JD32" s="1">
        <v>7.25</v>
      </c>
      <c r="JE32" s="1">
        <v>7.46</v>
      </c>
      <c r="JF32" s="1">
        <v>7.68</v>
      </c>
      <c r="JG32" s="1">
        <v>7.92</v>
      </c>
      <c r="JH32" s="1">
        <v>8.19</v>
      </c>
      <c r="JI32" s="1">
        <v>8.4700000000000006</v>
      </c>
      <c r="JJ32" s="1">
        <v>33.299999999999997</v>
      </c>
      <c r="JK32" s="1">
        <v>40.28</v>
      </c>
      <c r="JL32" s="1">
        <v>47.43</v>
      </c>
      <c r="JM32" s="1">
        <v>54.79</v>
      </c>
      <c r="JN32" s="1">
        <v>62.4</v>
      </c>
      <c r="JO32" s="1">
        <v>70.3</v>
      </c>
      <c r="JP32" s="1">
        <v>94.01</v>
      </c>
      <c r="JQ32" s="1">
        <v>77.489999999999995</v>
      </c>
      <c r="JR32" s="1">
        <v>67.08</v>
      </c>
      <c r="JS32" s="1">
        <v>59.83</v>
      </c>
      <c r="JT32" s="1">
        <v>54.15</v>
      </c>
      <c r="JU32" s="1">
        <v>50.02</v>
      </c>
      <c r="JV32" s="1">
        <v>47</v>
      </c>
      <c r="JW32" s="1">
        <v>93.26</v>
      </c>
      <c r="JX32" s="1">
        <v>76.739999999999995</v>
      </c>
      <c r="JY32" s="1">
        <v>66.33</v>
      </c>
      <c r="JZ32" s="1">
        <v>59.08</v>
      </c>
      <c r="KA32" s="1">
        <v>53.4</v>
      </c>
      <c r="KB32" s="1">
        <v>49.28</v>
      </c>
      <c r="KC32" s="1">
        <v>46.25</v>
      </c>
    </row>
    <row r="33" spans="1:289" x14ac:dyDescent="0.15">
      <c r="A33" s="8">
        <v>41</v>
      </c>
      <c r="B33" s="1">
        <v>30.41</v>
      </c>
      <c r="C33" s="1">
        <v>100.76</v>
      </c>
      <c r="D33" s="1">
        <v>91.34</v>
      </c>
      <c r="E33" s="1">
        <v>83.57</v>
      </c>
      <c r="F33" s="1">
        <v>77.069999999999993</v>
      </c>
      <c r="G33" s="1">
        <v>71.56</v>
      </c>
      <c r="H33" s="1">
        <v>66.849999999999994</v>
      </c>
      <c r="I33" s="1">
        <v>62.79</v>
      </c>
      <c r="J33" s="1">
        <v>59.27</v>
      </c>
      <c r="K33" s="1">
        <v>56.2</v>
      </c>
      <c r="L33" s="1">
        <v>53.51</v>
      </c>
      <c r="M33" s="1">
        <v>51.14</v>
      </c>
      <c r="N33" s="1">
        <v>48.78</v>
      </c>
      <c r="O33" s="1">
        <v>46.66</v>
      </c>
      <c r="P33" s="1">
        <v>44.77</v>
      </c>
      <c r="Q33" s="1">
        <v>43.07</v>
      </c>
      <c r="R33" s="1">
        <v>41.55</v>
      </c>
      <c r="S33" s="1">
        <v>40.18</v>
      </c>
      <c r="T33" s="1">
        <v>38.94</v>
      </c>
      <c r="U33" s="1">
        <v>37.83</v>
      </c>
      <c r="V33" s="1">
        <v>36.840000000000003</v>
      </c>
      <c r="W33" s="1">
        <v>35.94</v>
      </c>
      <c r="X33" s="1">
        <v>35.14</v>
      </c>
      <c r="Y33" s="1">
        <v>34.43</v>
      </c>
      <c r="Z33" s="1">
        <v>33.79</v>
      </c>
      <c r="AA33" s="1">
        <v>33.229999999999997</v>
      </c>
      <c r="AB33" s="10">
        <v>0</v>
      </c>
      <c r="AC33" s="10">
        <v>0</v>
      </c>
      <c r="AD33" s="1">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
        <v>67.400000000000006</v>
      </c>
      <c r="AX33" s="1">
        <v>60.27</v>
      </c>
      <c r="AY33" s="1">
        <v>54.8</v>
      </c>
      <c r="AZ33" s="1">
        <v>50.87</v>
      </c>
      <c r="BA33" s="1">
        <v>48</v>
      </c>
      <c r="BB33" s="6">
        <v>107.6</v>
      </c>
      <c r="BC33" s="6">
        <v>98.3</v>
      </c>
      <c r="BD33" s="6">
        <v>90.72</v>
      </c>
      <c r="BE33" s="6">
        <v>84.46</v>
      </c>
      <c r="BF33" s="6">
        <v>79.260000000000005</v>
      </c>
      <c r="BG33" s="6">
        <v>74.91</v>
      </c>
      <c r="BH33" s="6">
        <v>71.260000000000005</v>
      </c>
      <c r="BI33" s="6">
        <v>68.19</v>
      </c>
      <c r="BJ33" s="6">
        <v>65.61</v>
      </c>
      <c r="BK33" s="6">
        <v>63.47</v>
      </c>
      <c r="BL33" s="6">
        <v>61.69</v>
      </c>
      <c r="BM33" s="6">
        <v>59.93</v>
      </c>
      <c r="BN33" s="6">
        <v>58.46</v>
      </c>
      <c r="BO33" s="6">
        <v>57.26</v>
      </c>
      <c r="BP33" s="6">
        <v>56.29</v>
      </c>
      <c r="BQ33" s="1">
        <v>114.19</v>
      </c>
      <c r="BR33" s="1">
        <v>83.37</v>
      </c>
      <c r="BS33" s="1">
        <v>71.72</v>
      </c>
      <c r="BT33" s="1">
        <v>66.05</v>
      </c>
      <c r="BU33" s="1">
        <v>0</v>
      </c>
      <c r="BV33" s="1">
        <v>0</v>
      </c>
      <c r="BW33" s="1">
        <v>109.82</v>
      </c>
      <c r="BX33" s="1">
        <v>77.989999999999995</v>
      </c>
      <c r="BY33" s="1">
        <v>64.98</v>
      </c>
      <c r="BZ33" s="1">
        <v>58.34</v>
      </c>
      <c r="CA33" s="6">
        <v>111.44</v>
      </c>
      <c r="CB33" s="6">
        <v>102.93</v>
      </c>
      <c r="CC33" s="6">
        <v>96.09</v>
      </c>
      <c r="CD33" s="6">
        <v>90.49</v>
      </c>
      <c r="CE33" s="6">
        <v>85.89</v>
      </c>
      <c r="CF33" s="6">
        <v>82.07</v>
      </c>
      <c r="CG33" s="6">
        <v>79.34</v>
      </c>
      <c r="CH33" s="1">
        <v>77.150000000000006</v>
      </c>
      <c r="CI33" s="1">
        <v>75.41</v>
      </c>
      <c r="CJ33" s="1">
        <v>74.02</v>
      </c>
      <c r="CK33" s="1">
        <v>72.95</v>
      </c>
      <c r="CL33" s="1">
        <v>72.17</v>
      </c>
      <c r="CM33" s="1">
        <v>71.75</v>
      </c>
      <c r="CN33" s="1">
        <v>71.63</v>
      </c>
      <c r="CO33" s="1">
        <v>71.790000000000006</v>
      </c>
      <c r="CP33" s="1">
        <v>100.78</v>
      </c>
      <c r="CQ33" s="5">
        <v>91.29</v>
      </c>
      <c r="CR33" s="5">
        <v>83.44</v>
      </c>
      <c r="CS33" s="1">
        <v>76.849999999999994</v>
      </c>
      <c r="CT33" s="1">
        <v>71.25</v>
      </c>
      <c r="CU33" s="1">
        <v>66.45</v>
      </c>
      <c r="CV33" s="1">
        <v>62.28</v>
      </c>
      <c r="CW33" s="1">
        <v>58.64</v>
      </c>
      <c r="CX33" s="1">
        <v>55.44</v>
      </c>
      <c r="CY33" s="1">
        <v>52.62</v>
      </c>
      <c r="CZ33" s="1">
        <v>50.1</v>
      </c>
      <c r="DA33" s="1">
        <v>47.57</v>
      </c>
      <c r="DB33" s="1">
        <v>45.28</v>
      </c>
      <c r="DC33" s="1">
        <v>43.19</v>
      </c>
      <c r="DD33" s="1">
        <v>41.29</v>
      </c>
      <c r="DE33">
        <v>94.47</v>
      </c>
      <c r="DF33">
        <v>92.05</v>
      </c>
      <c r="DG33">
        <v>90.24</v>
      </c>
      <c r="DH33">
        <v>88.96</v>
      </c>
      <c r="DI33">
        <v>88.11</v>
      </c>
      <c r="DJ33" s="1">
        <v>87.62</v>
      </c>
      <c r="DK33" s="1">
        <v>87.17</v>
      </c>
      <c r="DL33" s="1">
        <v>87</v>
      </c>
      <c r="DM33" s="1">
        <v>87.06</v>
      </c>
      <c r="DN33" s="1">
        <v>87.33</v>
      </c>
      <c r="DO33" s="1">
        <v>87.78</v>
      </c>
      <c r="DP33" s="1">
        <v>8</v>
      </c>
      <c r="DQ33" s="1">
        <v>8</v>
      </c>
      <c r="DR33" s="1">
        <v>10.53</v>
      </c>
      <c r="DS33" s="1">
        <v>14.93</v>
      </c>
      <c r="DT33" s="1">
        <v>17.149999999999999</v>
      </c>
      <c r="DU33" s="1">
        <v>4.4400000000000004</v>
      </c>
      <c r="DV33" s="1">
        <v>4.8499999999999996</v>
      </c>
      <c r="DW33" s="1">
        <v>5.27</v>
      </c>
      <c r="DX33" s="1">
        <v>5.68</v>
      </c>
      <c r="DY33" s="1">
        <v>6.1</v>
      </c>
      <c r="DZ33" s="1">
        <v>6.51</v>
      </c>
      <c r="EA33" s="1">
        <v>7.11</v>
      </c>
      <c r="EB33" s="1">
        <v>7.71</v>
      </c>
      <c r="EC33" s="1">
        <v>8.32</v>
      </c>
      <c r="ED33" s="1">
        <v>8.92</v>
      </c>
      <c r="EE33" s="1">
        <v>9.52</v>
      </c>
      <c r="EF33" s="1">
        <v>10.25</v>
      </c>
      <c r="EG33" s="1">
        <v>11.03</v>
      </c>
      <c r="EH33" s="1">
        <v>11.85</v>
      </c>
      <c r="EI33" s="1">
        <v>12.71</v>
      </c>
      <c r="EJ33" s="10">
        <v>0</v>
      </c>
      <c r="EK33" s="10">
        <v>0</v>
      </c>
      <c r="EL33" s="10">
        <v>0</v>
      </c>
      <c r="EM33" s="10">
        <v>0</v>
      </c>
      <c r="EN33" s="1">
        <v>0</v>
      </c>
      <c r="EO33" s="10">
        <v>0</v>
      </c>
      <c r="EP33" s="1">
        <v>0</v>
      </c>
      <c r="EQ33" s="10">
        <v>0</v>
      </c>
      <c r="ER33" s="10">
        <v>0</v>
      </c>
      <c r="ES33" s="10">
        <v>0</v>
      </c>
      <c r="ET33" s="10">
        <v>0</v>
      </c>
      <c r="EU33" s="10">
        <v>0</v>
      </c>
      <c r="EV33" s="10">
        <v>0</v>
      </c>
      <c r="EW33" s="10">
        <v>0</v>
      </c>
      <c r="EX33" s="10">
        <v>0</v>
      </c>
      <c r="EY33" s="10">
        <v>0</v>
      </c>
      <c r="EZ33" s="10">
        <v>0</v>
      </c>
      <c r="FA33" s="10">
        <v>0</v>
      </c>
      <c r="FB33" s="10">
        <v>0</v>
      </c>
      <c r="FC33" s="10">
        <v>0</v>
      </c>
      <c r="FD33" s="10">
        <v>0</v>
      </c>
      <c r="FE33" s="1">
        <v>7.56</v>
      </c>
      <c r="FF33" s="1">
        <v>7.98</v>
      </c>
      <c r="FG33" s="1">
        <v>8.39</v>
      </c>
      <c r="FH33" s="1">
        <v>8.81</v>
      </c>
      <c r="FI33" s="1">
        <v>9.2200000000000006</v>
      </c>
      <c r="FJ33" s="1">
        <v>9.64</v>
      </c>
      <c r="FK33" s="1">
        <v>10.18</v>
      </c>
      <c r="FL33" s="1">
        <v>10.72</v>
      </c>
      <c r="FM33" s="1">
        <v>11.26</v>
      </c>
      <c r="FN33" s="1">
        <v>11.8</v>
      </c>
      <c r="FO33" s="1">
        <v>12.34</v>
      </c>
      <c r="FP33" s="1">
        <v>12.93</v>
      </c>
      <c r="FQ33" s="1">
        <v>13.52</v>
      </c>
      <c r="FR33" s="1">
        <v>14.11</v>
      </c>
      <c r="FS33" s="1">
        <v>14.7</v>
      </c>
      <c r="FT33" s="1">
        <v>15.29</v>
      </c>
      <c r="FU33" s="9">
        <v>2.3439999999999999</v>
      </c>
      <c r="FV33" s="1">
        <v>0</v>
      </c>
      <c r="FW33" s="1">
        <v>0</v>
      </c>
      <c r="FX33" s="1">
        <v>0</v>
      </c>
      <c r="FY33">
        <v>2.802</v>
      </c>
      <c r="FZ33" s="9">
        <v>2.9169999999999998</v>
      </c>
      <c r="GA33" s="1">
        <v>0</v>
      </c>
      <c r="GB33" s="1">
        <v>0</v>
      </c>
      <c r="GC33" s="9">
        <v>3.3860000000000001</v>
      </c>
      <c r="GD33">
        <v>3.5529999999999999</v>
      </c>
      <c r="GE33" s="1">
        <v>0</v>
      </c>
      <c r="GF33" s="1">
        <v>0</v>
      </c>
      <c r="GG33" s="1">
        <v>0</v>
      </c>
      <c r="GH33" s="1">
        <v>0</v>
      </c>
      <c r="GI33" s="10">
        <v>0</v>
      </c>
      <c r="GJ33" s="10">
        <v>0</v>
      </c>
      <c r="GK33" s="1">
        <v>0</v>
      </c>
      <c r="GL33" s="10">
        <v>0</v>
      </c>
      <c r="GM33" s="1">
        <v>0</v>
      </c>
      <c r="GN33" s="1">
        <v>0</v>
      </c>
      <c r="GO33" s="10">
        <v>0</v>
      </c>
      <c r="GP33" s="1">
        <v>0</v>
      </c>
      <c r="GQ33" s="1">
        <v>0</v>
      </c>
      <c r="GR33" s="1">
        <v>0</v>
      </c>
      <c r="GS33" s="1">
        <v>0</v>
      </c>
      <c r="GT33" s="10">
        <v>0</v>
      </c>
      <c r="GU33" s="1">
        <v>0</v>
      </c>
      <c r="GV33" s="1">
        <v>0</v>
      </c>
      <c r="GW33" s="1">
        <v>0</v>
      </c>
      <c r="GX33" s="1">
        <v>0</v>
      </c>
      <c r="GY33" s="10">
        <v>0</v>
      </c>
      <c r="GZ33" s="1">
        <v>3.7</v>
      </c>
      <c r="HA33" s="1">
        <v>4.3</v>
      </c>
      <c r="HB33" s="1">
        <v>4.9800000000000004</v>
      </c>
      <c r="HC33" s="1">
        <v>5.73</v>
      </c>
      <c r="HD33" s="1">
        <v>6.58</v>
      </c>
      <c r="HE33" s="1">
        <v>7.51</v>
      </c>
      <c r="HF33" s="1">
        <v>8.5399999999999991</v>
      </c>
      <c r="HG33" s="1">
        <v>9.65</v>
      </c>
      <c r="HH33" s="1">
        <v>10.87</v>
      </c>
      <c r="HI33" s="1">
        <v>12.16</v>
      </c>
      <c r="HJ33" s="1">
        <v>13.54</v>
      </c>
      <c r="HK33" s="1">
        <v>15</v>
      </c>
      <c r="HL33" s="1">
        <v>16.53</v>
      </c>
      <c r="HM33" s="1">
        <v>18.12</v>
      </c>
      <c r="HN33" s="1">
        <v>19.79</v>
      </c>
      <c r="HO33" s="1">
        <v>21.51</v>
      </c>
      <c r="HP33" s="1">
        <v>63.51</v>
      </c>
      <c r="HQ33">
        <v>46.99</v>
      </c>
      <c r="HR33" s="1">
        <v>39.200000000000003</v>
      </c>
      <c r="HS33" s="1">
        <v>34.99</v>
      </c>
      <c r="HT33" s="1">
        <v>0</v>
      </c>
      <c r="HU33" s="1">
        <v>32.99</v>
      </c>
      <c r="HV33" s="1">
        <v>36.840000000000003</v>
      </c>
      <c r="HW33" s="1">
        <v>105.31</v>
      </c>
      <c r="HX33" s="1">
        <v>71.88</v>
      </c>
      <c r="HY33" s="1">
        <v>57.09</v>
      </c>
      <c r="HZ33" s="1">
        <v>48.74</v>
      </c>
      <c r="IA33" s="1">
        <v>0</v>
      </c>
      <c r="IB33" s="1">
        <v>0</v>
      </c>
      <c r="IC33" s="1">
        <v>699.4</v>
      </c>
      <c r="ID33" s="1">
        <v>591.4</v>
      </c>
      <c r="IE33" s="1">
        <v>513.9</v>
      </c>
      <c r="IF33" s="1">
        <v>446.6</v>
      </c>
      <c r="IG33" s="1">
        <v>0</v>
      </c>
      <c r="IH33" s="1">
        <v>0</v>
      </c>
      <c r="II33" s="1">
        <v>0</v>
      </c>
      <c r="IJ33" s="1">
        <v>69.900000000000006</v>
      </c>
      <c r="IK33" s="1">
        <v>62.77</v>
      </c>
      <c r="IL33" s="1">
        <v>0</v>
      </c>
      <c r="IM33" s="1">
        <v>0</v>
      </c>
      <c r="IN33" s="1">
        <v>0</v>
      </c>
      <c r="IO33" s="1">
        <v>0</v>
      </c>
      <c r="IP33" s="1">
        <v>39.1</v>
      </c>
      <c r="IQ33" s="1">
        <v>0</v>
      </c>
      <c r="IR33" s="1">
        <v>0</v>
      </c>
      <c r="IS33" s="1">
        <v>0</v>
      </c>
      <c r="IT33" s="1">
        <v>0</v>
      </c>
      <c r="IU33" s="1">
        <v>0</v>
      </c>
      <c r="IV33" s="1">
        <v>0</v>
      </c>
      <c r="IW33" s="1">
        <v>0</v>
      </c>
      <c r="IX33" s="1">
        <v>0</v>
      </c>
      <c r="IY33" s="1">
        <v>0</v>
      </c>
      <c r="IZ33" s="1">
        <v>0</v>
      </c>
      <c r="JA33" s="1">
        <v>0</v>
      </c>
      <c r="JB33" s="1">
        <v>80.55</v>
      </c>
      <c r="JC33" s="1">
        <v>62.62</v>
      </c>
      <c r="JD33" s="1">
        <v>7.66</v>
      </c>
      <c r="JE33" s="1">
        <v>7.9</v>
      </c>
      <c r="JF33" s="1">
        <v>8.16</v>
      </c>
      <c r="JG33" s="1">
        <v>8.43</v>
      </c>
      <c r="JH33" s="1">
        <v>8.74</v>
      </c>
      <c r="JI33" s="1">
        <v>9.06</v>
      </c>
      <c r="JJ33" s="1">
        <v>35.18</v>
      </c>
      <c r="JK33" s="1">
        <v>42.64</v>
      </c>
      <c r="JL33" s="1">
        <v>50.31</v>
      </c>
      <c r="JM33" s="1">
        <v>58.25</v>
      </c>
      <c r="JN33" s="1">
        <v>66.48</v>
      </c>
      <c r="JO33" s="1">
        <v>75.06</v>
      </c>
      <c r="JP33" s="1">
        <v>94.41</v>
      </c>
      <c r="JQ33" s="1">
        <v>77.989999999999995</v>
      </c>
      <c r="JR33" s="1">
        <v>67.680000000000007</v>
      </c>
      <c r="JS33" s="1">
        <v>60.52</v>
      </c>
      <c r="JT33" s="1">
        <v>54.93</v>
      </c>
      <c r="JU33" s="1">
        <v>50.89</v>
      </c>
      <c r="JV33" s="1">
        <v>47.93</v>
      </c>
      <c r="JW33" s="1">
        <v>93.66</v>
      </c>
      <c r="JX33" s="1">
        <v>77.239999999999995</v>
      </c>
      <c r="JY33" s="1">
        <v>66.930000000000007</v>
      </c>
      <c r="JZ33" s="1">
        <v>59.77</v>
      </c>
      <c r="KA33" s="1">
        <v>54.18</v>
      </c>
      <c r="KB33" s="1">
        <v>50.14</v>
      </c>
      <c r="KC33" s="1">
        <v>47.18</v>
      </c>
    </row>
    <row r="34" spans="1:289" x14ac:dyDescent="0.15">
      <c r="A34" s="8">
        <v>42</v>
      </c>
      <c r="B34" s="1">
        <v>31.63</v>
      </c>
      <c r="C34" s="1">
        <v>101</v>
      </c>
      <c r="D34" s="1">
        <v>91.61</v>
      </c>
      <c r="E34" s="1">
        <v>83.86</v>
      </c>
      <c r="F34" s="1">
        <v>77.38</v>
      </c>
      <c r="G34" s="1">
        <v>71.89</v>
      </c>
      <c r="H34" s="1">
        <v>67.209999999999994</v>
      </c>
      <c r="I34" s="1">
        <v>63.17</v>
      </c>
      <c r="J34" s="1">
        <v>59.68</v>
      </c>
      <c r="K34" s="1">
        <v>56.63</v>
      </c>
      <c r="L34" s="1">
        <v>53.97</v>
      </c>
      <c r="M34" s="1">
        <v>51.63</v>
      </c>
      <c r="N34" s="1">
        <v>49.29</v>
      </c>
      <c r="O34" s="1">
        <v>47.21</v>
      </c>
      <c r="P34" s="1">
        <v>45.34</v>
      </c>
      <c r="Q34" s="1">
        <v>43.67</v>
      </c>
      <c r="R34" s="1">
        <v>42.18</v>
      </c>
      <c r="S34" s="1">
        <v>40.83</v>
      </c>
      <c r="T34" s="1">
        <v>39.630000000000003</v>
      </c>
      <c r="U34" s="1">
        <v>38.549999999999997</v>
      </c>
      <c r="V34" s="1">
        <v>37.58</v>
      </c>
      <c r="W34" s="1">
        <v>36.72</v>
      </c>
      <c r="X34" s="1">
        <v>35.950000000000003</v>
      </c>
      <c r="Y34" s="1">
        <v>35.26</v>
      </c>
      <c r="Z34" s="1">
        <v>34.659999999999997</v>
      </c>
      <c r="AA34" s="10">
        <v>0</v>
      </c>
      <c r="AB34" s="10">
        <v>0</v>
      </c>
      <c r="AC34" s="1">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c r="AV34" s="10">
        <v>0</v>
      </c>
      <c r="AW34" s="1">
        <v>68.12</v>
      </c>
      <c r="AX34" s="1">
        <v>61.09</v>
      </c>
      <c r="AY34" s="1">
        <v>55.7</v>
      </c>
      <c r="AZ34" s="1">
        <v>51.85</v>
      </c>
      <c r="BA34" s="1">
        <v>49.07</v>
      </c>
      <c r="BB34" s="6">
        <v>108.26</v>
      </c>
      <c r="BC34" s="6">
        <v>99.03</v>
      </c>
      <c r="BD34" s="6">
        <v>91.53</v>
      </c>
      <c r="BE34" s="6">
        <v>85.36</v>
      </c>
      <c r="BF34" s="6">
        <v>80.239999999999995</v>
      </c>
      <c r="BG34" s="6">
        <v>75.989999999999995</v>
      </c>
      <c r="BH34" s="6">
        <v>72.430000000000007</v>
      </c>
      <c r="BI34" s="6">
        <v>69.459999999999994</v>
      </c>
      <c r="BJ34" s="6">
        <v>66.98</v>
      </c>
      <c r="BK34" s="6">
        <v>64.95</v>
      </c>
      <c r="BL34" s="6">
        <v>63.27</v>
      </c>
      <c r="BM34" s="6">
        <v>61.62</v>
      </c>
      <c r="BN34" s="6">
        <v>60.26</v>
      </c>
      <c r="BO34" s="6">
        <v>59.17</v>
      </c>
      <c r="BP34" s="1">
        <v>0</v>
      </c>
      <c r="BQ34" s="1">
        <v>115.71</v>
      </c>
      <c r="BR34" s="1">
        <v>85.44</v>
      </c>
      <c r="BS34" s="1">
        <v>74.23</v>
      </c>
      <c r="BT34" s="1">
        <v>68.819999999999993</v>
      </c>
      <c r="BU34" s="1">
        <v>0</v>
      </c>
      <c r="BV34" s="1">
        <v>0</v>
      </c>
      <c r="BW34" s="1">
        <v>110.74</v>
      </c>
      <c r="BX34" s="1">
        <v>79.3</v>
      </c>
      <c r="BY34" s="1">
        <v>66.64</v>
      </c>
      <c r="BZ34" s="1">
        <v>60.3</v>
      </c>
      <c r="CA34" s="6">
        <v>112.3</v>
      </c>
      <c r="CB34" s="6">
        <v>103.95</v>
      </c>
      <c r="CC34" s="6">
        <v>97.24</v>
      </c>
      <c r="CD34" s="6">
        <v>91.76</v>
      </c>
      <c r="CE34" s="6">
        <v>87.3</v>
      </c>
      <c r="CF34" s="6">
        <v>83.63</v>
      </c>
      <c r="CG34" s="6">
        <v>81.11</v>
      </c>
      <c r="CH34" s="1">
        <v>79.12</v>
      </c>
      <c r="CI34" s="1">
        <v>77.540000000000006</v>
      </c>
      <c r="CJ34" s="1">
        <v>76.14</v>
      </c>
      <c r="CK34" s="1">
        <v>75.48</v>
      </c>
      <c r="CL34" s="1">
        <v>74.900000000000006</v>
      </c>
      <c r="CM34" s="1">
        <v>74.69</v>
      </c>
      <c r="CN34" s="1">
        <v>74.77</v>
      </c>
      <c r="CO34" s="1">
        <v>75.16</v>
      </c>
      <c r="CP34" s="1">
        <v>100.97</v>
      </c>
      <c r="CQ34" s="5">
        <v>91.49</v>
      </c>
      <c r="CR34" s="5">
        <v>83.65</v>
      </c>
      <c r="CS34" s="1">
        <v>77.069999999999993</v>
      </c>
      <c r="CT34" s="1">
        <v>71.489999999999995</v>
      </c>
      <c r="CU34" s="1">
        <v>66.69</v>
      </c>
      <c r="CV34" s="1">
        <v>62.53</v>
      </c>
      <c r="CW34" s="1">
        <v>58.91</v>
      </c>
      <c r="CX34" s="1">
        <v>55.72</v>
      </c>
      <c r="CY34" s="1">
        <v>52.91</v>
      </c>
      <c r="CZ34" s="1">
        <v>50.4</v>
      </c>
      <c r="DA34" s="1">
        <v>47.88</v>
      </c>
      <c r="DB34" s="1">
        <v>45.6</v>
      </c>
      <c r="DC34" s="1">
        <v>43.52</v>
      </c>
      <c r="DD34" s="1">
        <v>41.63</v>
      </c>
      <c r="DE34">
        <v>97.98</v>
      </c>
      <c r="DF34">
        <v>95.75</v>
      </c>
      <c r="DG34">
        <v>94.14</v>
      </c>
      <c r="DH34">
        <v>93.03</v>
      </c>
      <c r="DI34">
        <v>92.34</v>
      </c>
      <c r="DJ34" s="1">
        <v>92.01</v>
      </c>
      <c r="DK34" s="1">
        <v>91.71</v>
      </c>
      <c r="DL34" s="1">
        <v>91.67</v>
      </c>
      <c r="DM34" s="1">
        <v>91.87</v>
      </c>
      <c r="DN34" s="1">
        <v>92.27</v>
      </c>
      <c r="DO34" s="1">
        <v>92.84</v>
      </c>
      <c r="DP34" s="1">
        <v>8</v>
      </c>
      <c r="DQ34" s="1">
        <v>8.8800000000000008</v>
      </c>
      <c r="DR34" s="1">
        <v>11.73</v>
      </c>
      <c r="DS34" s="1">
        <v>16.55</v>
      </c>
      <c r="DT34" s="1">
        <v>18.829999999999998</v>
      </c>
      <c r="DU34" s="1">
        <v>4.72</v>
      </c>
      <c r="DV34" s="1">
        <v>5.19</v>
      </c>
      <c r="DW34" s="1">
        <v>5.66</v>
      </c>
      <c r="DX34" s="1">
        <v>6.12</v>
      </c>
      <c r="DY34" s="1">
        <v>6.59</v>
      </c>
      <c r="DZ34" s="1">
        <v>7.06</v>
      </c>
      <c r="EA34" s="1">
        <v>7.74</v>
      </c>
      <c r="EB34" s="1">
        <v>8.42</v>
      </c>
      <c r="EC34" s="1">
        <v>9.09</v>
      </c>
      <c r="ED34" s="1">
        <v>9.68</v>
      </c>
      <c r="EE34" s="1">
        <v>10.45</v>
      </c>
      <c r="EF34" s="1">
        <v>11.26</v>
      </c>
      <c r="EG34" s="1">
        <v>12.12</v>
      </c>
      <c r="EH34" s="1">
        <v>13.02</v>
      </c>
      <c r="EI34" s="10">
        <v>0</v>
      </c>
      <c r="EJ34" s="10">
        <v>0</v>
      </c>
      <c r="EK34" s="10">
        <v>0</v>
      </c>
      <c r="EL34" s="10">
        <v>0</v>
      </c>
      <c r="EM34" s="1">
        <v>0</v>
      </c>
      <c r="EN34" s="10">
        <v>0</v>
      </c>
      <c r="EO34" s="10">
        <v>0</v>
      </c>
      <c r="EP34" s="10">
        <v>0</v>
      </c>
      <c r="EQ34" s="10">
        <v>0</v>
      </c>
      <c r="ER34" s="10">
        <v>0</v>
      </c>
      <c r="ES34" s="10">
        <v>0</v>
      </c>
      <c r="ET34" s="10">
        <v>0</v>
      </c>
      <c r="EU34" s="10">
        <v>0</v>
      </c>
      <c r="EV34" s="10">
        <v>0</v>
      </c>
      <c r="EW34" s="10">
        <v>0</v>
      </c>
      <c r="EX34" s="10">
        <v>0</v>
      </c>
      <c r="EY34" s="10">
        <v>0</v>
      </c>
      <c r="EZ34" s="10">
        <v>0</v>
      </c>
      <c r="FA34" s="10">
        <v>0</v>
      </c>
      <c r="FB34" s="10">
        <v>0</v>
      </c>
      <c r="FC34" s="10">
        <v>0</v>
      </c>
      <c r="FD34" s="10">
        <v>0</v>
      </c>
      <c r="FE34" s="1">
        <v>8.24</v>
      </c>
      <c r="FF34" s="1">
        <v>8.7100000000000009</v>
      </c>
      <c r="FG34" s="1">
        <v>9.18</v>
      </c>
      <c r="FH34" s="1">
        <v>9.65</v>
      </c>
      <c r="FI34" s="1">
        <v>10.119999999999999</v>
      </c>
      <c r="FJ34" s="1">
        <v>10.59</v>
      </c>
      <c r="FK34" s="1">
        <v>11.17</v>
      </c>
      <c r="FL34" s="1">
        <v>11.76</v>
      </c>
      <c r="FM34" s="1">
        <v>12.34</v>
      </c>
      <c r="FN34" s="1">
        <v>12.93</v>
      </c>
      <c r="FO34" s="1">
        <v>13.51</v>
      </c>
      <c r="FP34" s="1">
        <v>14.13</v>
      </c>
      <c r="FQ34" s="1">
        <v>14.75</v>
      </c>
      <c r="FR34" s="1">
        <v>15.38</v>
      </c>
      <c r="FS34" s="1">
        <v>16</v>
      </c>
      <c r="FT34" s="1">
        <v>16.62</v>
      </c>
      <c r="FU34" s="9">
        <v>2.552</v>
      </c>
      <c r="FV34" s="1">
        <v>0</v>
      </c>
      <c r="FW34" s="1">
        <v>0</v>
      </c>
      <c r="FX34">
        <v>2.927</v>
      </c>
      <c r="FY34" s="1">
        <v>0</v>
      </c>
      <c r="FZ34" s="9">
        <v>3.177</v>
      </c>
      <c r="GA34" s="1">
        <v>0</v>
      </c>
      <c r="GB34" s="1">
        <v>0</v>
      </c>
      <c r="GC34" s="9">
        <v>3.7109999999999999</v>
      </c>
      <c r="GD34" s="1">
        <v>0</v>
      </c>
      <c r="GE34" s="1">
        <v>0</v>
      </c>
      <c r="GF34" s="10">
        <v>0</v>
      </c>
      <c r="GG34" s="1">
        <v>0</v>
      </c>
      <c r="GH34" s="1">
        <v>0</v>
      </c>
      <c r="GI34" s="10">
        <v>0</v>
      </c>
      <c r="GJ34" s="10">
        <v>0</v>
      </c>
      <c r="GK34" s="1">
        <v>0</v>
      </c>
      <c r="GL34" s="1">
        <v>0</v>
      </c>
      <c r="GM34" s="1">
        <v>0</v>
      </c>
      <c r="GN34" s="1">
        <v>0</v>
      </c>
      <c r="GO34" s="10">
        <v>0</v>
      </c>
      <c r="GP34" s="1">
        <v>0</v>
      </c>
      <c r="GQ34" s="1">
        <v>0</v>
      </c>
      <c r="GR34" s="1">
        <v>0</v>
      </c>
      <c r="GS34" s="1">
        <v>0</v>
      </c>
      <c r="GT34" s="10">
        <v>0</v>
      </c>
      <c r="GU34" s="1">
        <v>0</v>
      </c>
      <c r="GV34" s="1">
        <v>0</v>
      </c>
      <c r="GW34" s="1">
        <v>0</v>
      </c>
      <c r="GX34" s="1">
        <v>0</v>
      </c>
      <c r="GY34" s="10">
        <v>0</v>
      </c>
      <c r="GZ34" s="1">
        <v>4.13</v>
      </c>
      <c r="HA34" s="1">
        <v>4.8</v>
      </c>
      <c r="HB34" s="1">
        <v>5.57</v>
      </c>
      <c r="HC34" s="1">
        <v>6.42</v>
      </c>
      <c r="HD34" s="1">
        <v>7.36</v>
      </c>
      <c r="HE34" s="1">
        <v>8.4</v>
      </c>
      <c r="HF34" s="1">
        <v>9.5299999999999994</v>
      </c>
      <c r="HG34" s="1">
        <v>10.76</v>
      </c>
      <c r="HH34" s="1">
        <v>12.07</v>
      </c>
      <c r="HI34" s="1">
        <v>13.47</v>
      </c>
      <c r="HJ34" s="1">
        <v>14.95</v>
      </c>
      <c r="HK34" s="1">
        <v>16.5</v>
      </c>
      <c r="HL34" s="1">
        <v>18.13</v>
      </c>
      <c r="HM34" s="1">
        <v>19.82</v>
      </c>
      <c r="HN34" s="1">
        <v>21.58</v>
      </c>
      <c r="HO34" s="1">
        <v>23.4</v>
      </c>
      <c r="HP34" s="1">
        <v>65.05</v>
      </c>
      <c r="HQ34">
        <v>48.21</v>
      </c>
      <c r="HR34" s="1">
        <v>40.32</v>
      </c>
      <c r="HS34" s="1">
        <v>36.08</v>
      </c>
      <c r="HT34" s="1">
        <v>0</v>
      </c>
      <c r="HU34" s="1">
        <v>34.49</v>
      </c>
      <c r="HV34" s="1">
        <v>38.549999999999997</v>
      </c>
      <c r="HW34" s="1">
        <v>105.8</v>
      </c>
      <c r="HX34" s="1">
        <v>72.59</v>
      </c>
      <c r="HY34" s="1">
        <v>58.08</v>
      </c>
      <c r="HZ34" s="1">
        <v>49.98</v>
      </c>
      <c r="IA34" s="1">
        <v>0</v>
      </c>
      <c r="IB34" s="1">
        <v>0</v>
      </c>
      <c r="IC34" s="1">
        <v>699.4</v>
      </c>
      <c r="ID34" s="1">
        <v>591.4</v>
      </c>
      <c r="IE34" s="1">
        <v>513.9</v>
      </c>
      <c r="IF34" s="1">
        <v>446.6</v>
      </c>
      <c r="IG34" s="1">
        <v>0</v>
      </c>
      <c r="IH34" s="1">
        <v>0</v>
      </c>
      <c r="II34" s="1">
        <v>0</v>
      </c>
      <c r="IJ34" s="1">
        <v>70.62</v>
      </c>
      <c r="IK34" s="1">
        <v>63.59</v>
      </c>
      <c r="IL34" s="1">
        <v>0</v>
      </c>
      <c r="IM34" s="1">
        <v>0</v>
      </c>
      <c r="IN34" s="1">
        <v>0</v>
      </c>
      <c r="IO34" s="1">
        <v>40.74</v>
      </c>
      <c r="IP34" s="1">
        <v>0</v>
      </c>
      <c r="IQ34" s="1">
        <v>0</v>
      </c>
      <c r="IR34" s="1">
        <v>0</v>
      </c>
      <c r="IS34" s="1">
        <v>0</v>
      </c>
      <c r="IT34" s="1">
        <v>0</v>
      </c>
      <c r="IU34" s="1">
        <v>0</v>
      </c>
      <c r="IV34" s="1">
        <v>0</v>
      </c>
      <c r="IW34" s="1">
        <v>0</v>
      </c>
      <c r="IX34" s="1">
        <v>0</v>
      </c>
      <c r="IY34" s="1">
        <v>0</v>
      </c>
      <c r="IZ34" s="1">
        <v>0</v>
      </c>
      <c r="JA34" s="1">
        <v>0</v>
      </c>
      <c r="JB34" s="1">
        <v>80.86</v>
      </c>
      <c r="JC34" s="1">
        <v>63.14</v>
      </c>
      <c r="JD34" s="1">
        <v>8.1300000000000008</v>
      </c>
      <c r="JE34" s="1">
        <v>8.4</v>
      </c>
      <c r="JF34" s="1">
        <v>8.6999999999999993</v>
      </c>
      <c r="JG34" s="1">
        <v>9.02</v>
      </c>
      <c r="JH34" s="1">
        <v>9.3699999999999992</v>
      </c>
      <c r="JI34" s="1">
        <v>9.74</v>
      </c>
      <c r="JJ34" s="1">
        <v>37.32</v>
      </c>
      <c r="JK34" s="1">
        <v>45.33</v>
      </c>
      <c r="JL34" s="1">
        <v>53.61</v>
      </c>
      <c r="JM34" s="1">
        <v>62.2</v>
      </c>
      <c r="JN34" s="1">
        <v>71.150000000000006</v>
      </c>
      <c r="JO34" s="1">
        <v>80.52</v>
      </c>
      <c r="JP34" s="1">
        <v>94.87</v>
      </c>
      <c r="JQ34" s="1">
        <v>78.55</v>
      </c>
      <c r="JR34" s="1">
        <v>68.34</v>
      </c>
      <c r="JS34" s="1">
        <v>61.28</v>
      </c>
      <c r="JT34" s="1">
        <v>55.78</v>
      </c>
      <c r="JU34" s="1">
        <v>51.82</v>
      </c>
      <c r="JV34" s="1">
        <v>48.94</v>
      </c>
      <c r="JW34" s="1">
        <v>94.12</v>
      </c>
      <c r="JX34" s="1">
        <v>77.8</v>
      </c>
      <c r="JY34" s="1">
        <v>67.59</v>
      </c>
      <c r="JZ34" s="1">
        <v>60.53</v>
      </c>
      <c r="KA34" s="1">
        <v>55.03</v>
      </c>
      <c r="KB34" s="1">
        <v>51.07</v>
      </c>
      <c r="KC34" s="1">
        <v>48.19</v>
      </c>
    </row>
    <row r="35" spans="1:289" x14ac:dyDescent="0.15">
      <c r="A35" s="8">
        <v>43</v>
      </c>
      <c r="B35" s="1">
        <v>32.92</v>
      </c>
      <c r="C35" s="1">
        <v>101.28</v>
      </c>
      <c r="D35" s="1">
        <v>91.91</v>
      </c>
      <c r="E35" s="1">
        <v>84.18</v>
      </c>
      <c r="F35" s="1">
        <v>77.73</v>
      </c>
      <c r="G35" s="1">
        <v>72.27</v>
      </c>
      <c r="H35" s="1">
        <v>67.61</v>
      </c>
      <c r="I35" s="1">
        <v>63.61</v>
      </c>
      <c r="J35" s="1">
        <v>60.14</v>
      </c>
      <c r="K35" s="1">
        <v>57.12</v>
      </c>
      <c r="L35" s="1">
        <v>54.49</v>
      </c>
      <c r="M35" s="1">
        <v>52.17</v>
      </c>
      <c r="N35" s="1">
        <v>49.87</v>
      </c>
      <c r="O35" s="1">
        <v>47.82</v>
      </c>
      <c r="P35" s="1">
        <v>45.98</v>
      </c>
      <c r="Q35" s="1">
        <v>44.34</v>
      </c>
      <c r="R35" s="1">
        <v>42.87</v>
      </c>
      <c r="S35" s="1">
        <v>41.55</v>
      </c>
      <c r="T35" s="1">
        <v>40.39</v>
      </c>
      <c r="U35" s="1">
        <v>39.340000000000003</v>
      </c>
      <c r="V35" s="1">
        <v>38.4</v>
      </c>
      <c r="W35" s="1">
        <v>37.57</v>
      </c>
      <c r="X35" s="1">
        <v>36.82</v>
      </c>
      <c r="Y35" s="1">
        <v>36.17</v>
      </c>
      <c r="Z35" s="10">
        <v>0</v>
      </c>
      <c r="AA35" s="10">
        <v>0</v>
      </c>
      <c r="AB35" s="1">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0</v>
      </c>
      <c r="AT35" s="10">
        <v>0</v>
      </c>
      <c r="AU35" s="10">
        <v>0</v>
      </c>
      <c r="AV35" s="10">
        <v>0</v>
      </c>
      <c r="AW35" s="1">
        <v>68.92</v>
      </c>
      <c r="AX35" s="1">
        <v>61.99</v>
      </c>
      <c r="AY35" s="1">
        <v>56.69</v>
      </c>
      <c r="AZ35" s="1">
        <v>52.92</v>
      </c>
      <c r="BA35" s="1">
        <v>50.21</v>
      </c>
      <c r="BB35" s="6">
        <v>108.32</v>
      </c>
      <c r="BC35" s="6">
        <v>99.77</v>
      </c>
      <c r="BD35" s="6">
        <v>92.33</v>
      </c>
      <c r="BE35" s="6">
        <v>86.25</v>
      </c>
      <c r="BF35" s="6">
        <v>81.23</v>
      </c>
      <c r="BG35" s="6">
        <v>77.06</v>
      </c>
      <c r="BH35" s="6">
        <v>73.599999999999994</v>
      </c>
      <c r="BI35" s="6">
        <v>70.73</v>
      </c>
      <c r="BJ35" s="6">
        <v>68.36</v>
      </c>
      <c r="BK35" s="6">
        <v>66.42</v>
      </c>
      <c r="BL35" s="6">
        <v>64.86</v>
      </c>
      <c r="BM35" s="6">
        <v>63.32</v>
      </c>
      <c r="BN35" s="6">
        <v>62.07</v>
      </c>
      <c r="BO35" s="1">
        <v>0</v>
      </c>
      <c r="BP35" s="1">
        <v>0</v>
      </c>
      <c r="BQ35" s="1">
        <v>117.46</v>
      </c>
      <c r="BR35" s="1">
        <v>87.77</v>
      </c>
      <c r="BS35" s="1">
        <v>76.98</v>
      </c>
      <c r="BT35" s="1">
        <v>71.83</v>
      </c>
      <c r="BU35" s="1">
        <v>0</v>
      </c>
      <c r="BV35" s="10">
        <v>0</v>
      </c>
      <c r="BW35" s="1">
        <v>111.8</v>
      </c>
      <c r="BX35" s="1">
        <v>80.760000000000005</v>
      </c>
      <c r="BY35" s="1">
        <v>68.45</v>
      </c>
      <c r="BZ35" s="1">
        <v>62.42</v>
      </c>
      <c r="CA35" s="6">
        <v>113.31</v>
      </c>
      <c r="CB35" s="6">
        <v>105.11</v>
      </c>
      <c r="CC35" s="6">
        <v>98.55</v>
      </c>
      <c r="CD35" s="6">
        <v>93.24</v>
      </c>
      <c r="CE35" s="6">
        <v>88.93</v>
      </c>
      <c r="CF35" s="6">
        <v>85.42</v>
      </c>
      <c r="CG35" s="6">
        <v>83.1</v>
      </c>
      <c r="CH35" s="1">
        <v>81.31</v>
      </c>
      <c r="CI35" s="1">
        <v>79.63</v>
      </c>
      <c r="CJ35" s="1">
        <v>78.739999999999995</v>
      </c>
      <c r="CK35" s="1">
        <v>78.319999999999993</v>
      </c>
      <c r="CL35" s="1">
        <v>77.959999999999994</v>
      </c>
      <c r="CM35" s="1">
        <v>77.97</v>
      </c>
      <c r="CN35" s="1">
        <v>78.290000000000006</v>
      </c>
      <c r="CO35" s="1">
        <v>78.900000000000006</v>
      </c>
      <c r="CP35" s="1">
        <v>101.19</v>
      </c>
      <c r="CQ35" s="5">
        <v>91.72</v>
      </c>
      <c r="CR35" s="5">
        <v>83.89</v>
      </c>
      <c r="CS35" s="1">
        <v>77.319999999999993</v>
      </c>
      <c r="CT35" s="1">
        <v>71.75</v>
      </c>
      <c r="CU35" s="1">
        <v>66.97</v>
      </c>
      <c r="CV35" s="1">
        <v>62.82</v>
      </c>
      <c r="CW35" s="1">
        <v>59.21</v>
      </c>
      <c r="CX35" s="1">
        <v>56.04</v>
      </c>
      <c r="CY35" s="1">
        <v>53.23</v>
      </c>
      <c r="CZ35" s="1">
        <v>50.74</v>
      </c>
      <c r="DA35" s="1">
        <v>48.23</v>
      </c>
      <c r="DB35" s="1">
        <v>45.95</v>
      </c>
      <c r="DC35" s="1">
        <v>43.89</v>
      </c>
      <c r="DD35" s="1">
        <v>42</v>
      </c>
      <c r="DE35">
        <v>101.91</v>
      </c>
      <c r="DF35">
        <v>99.88</v>
      </c>
      <c r="DG35">
        <v>98.45</v>
      </c>
      <c r="DH35">
        <v>97.51</v>
      </c>
      <c r="DI35">
        <v>96.98</v>
      </c>
      <c r="DJ35" s="1">
        <v>96.81</v>
      </c>
      <c r="DK35" s="1">
        <v>96.65</v>
      </c>
      <c r="DL35" s="1">
        <v>96.76</v>
      </c>
      <c r="DM35" s="1">
        <v>97.09</v>
      </c>
      <c r="DN35" s="1">
        <v>97.63</v>
      </c>
      <c r="DO35" s="1">
        <v>98.33</v>
      </c>
      <c r="DP35" s="1">
        <v>8</v>
      </c>
      <c r="DQ35" s="1">
        <v>9.8800000000000008</v>
      </c>
      <c r="DR35" s="1">
        <v>13.05</v>
      </c>
      <c r="DS35" s="1">
        <v>18.28</v>
      </c>
      <c r="DT35" s="1">
        <v>20.65</v>
      </c>
      <c r="DU35" s="1">
        <v>5.05</v>
      </c>
      <c r="DV35" s="1">
        <v>5.58</v>
      </c>
      <c r="DW35" s="1">
        <v>6.11</v>
      </c>
      <c r="DX35" s="1">
        <v>6.63</v>
      </c>
      <c r="DY35" s="1">
        <v>7.16</v>
      </c>
      <c r="DZ35" s="1">
        <v>7.69</v>
      </c>
      <c r="EA35" s="1">
        <v>8.4499999999999993</v>
      </c>
      <c r="EB35" s="1">
        <v>9.2100000000000009</v>
      </c>
      <c r="EC35" s="1">
        <v>9.83</v>
      </c>
      <c r="ED35" s="1">
        <v>10.63</v>
      </c>
      <c r="EE35" s="1">
        <v>11.49</v>
      </c>
      <c r="EF35" s="1">
        <v>12.39</v>
      </c>
      <c r="EG35" s="1">
        <v>13.34</v>
      </c>
      <c r="EH35" s="10">
        <v>0</v>
      </c>
      <c r="EI35" s="10">
        <v>0</v>
      </c>
      <c r="EJ35" s="10">
        <v>0</v>
      </c>
      <c r="EK35" s="10">
        <v>0</v>
      </c>
      <c r="EL35" s="1">
        <v>0</v>
      </c>
      <c r="EM35" s="10">
        <v>0</v>
      </c>
      <c r="EN35" s="10">
        <v>0</v>
      </c>
      <c r="EO35" s="10">
        <v>0</v>
      </c>
      <c r="EP35" s="10">
        <v>0</v>
      </c>
      <c r="EQ35" s="1">
        <v>0</v>
      </c>
      <c r="ER35" s="1">
        <v>0</v>
      </c>
      <c r="ES35" s="1">
        <v>0</v>
      </c>
      <c r="ET35" s="1">
        <v>0</v>
      </c>
      <c r="EU35" s="1">
        <v>0</v>
      </c>
      <c r="EV35" s="1">
        <v>0</v>
      </c>
      <c r="EW35" s="1">
        <v>0</v>
      </c>
      <c r="EX35" s="1">
        <v>0</v>
      </c>
      <c r="EY35" s="1">
        <v>0</v>
      </c>
      <c r="EZ35" s="1">
        <v>0</v>
      </c>
      <c r="FA35" s="1">
        <v>0</v>
      </c>
      <c r="FB35" s="1">
        <v>0</v>
      </c>
      <c r="FC35" s="1">
        <v>0</v>
      </c>
      <c r="FD35" s="1">
        <v>0</v>
      </c>
      <c r="FE35" s="1">
        <v>9.02</v>
      </c>
      <c r="FF35" s="1">
        <v>9.5500000000000007</v>
      </c>
      <c r="FG35" s="1">
        <v>10.07</v>
      </c>
      <c r="FH35" s="1">
        <v>10.6</v>
      </c>
      <c r="FI35" s="1">
        <v>11.12</v>
      </c>
      <c r="FJ35" s="1">
        <v>11.65</v>
      </c>
      <c r="FK35" s="1">
        <v>12.28</v>
      </c>
      <c r="FL35" s="1">
        <v>12.9</v>
      </c>
      <c r="FM35" s="1">
        <v>13.53</v>
      </c>
      <c r="FN35" s="1">
        <v>14.15</v>
      </c>
      <c r="FO35" s="1">
        <v>14.78</v>
      </c>
      <c r="FP35" s="1">
        <v>15.43</v>
      </c>
      <c r="FQ35" s="1">
        <v>16.09</v>
      </c>
      <c r="FR35" s="1">
        <v>16.739999999999998</v>
      </c>
      <c r="FS35" s="1">
        <v>17.399999999999999</v>
      </c>
      <c r="FT35" s="1">
        <v>18.05</v>
      </c>
      <c r="FU35" s="9">
        <v>2.76</v>
      </c>
      <c r="FV35" s="1">
        <v>0</v>
      </c>
      <c r="FW35">
        <v>3.052</v>
      </c>
      <c r="FX35" s="1">
        <v>0</v>
      </c>
      <c r="FY35" s="1">
        <v>0</v>
      </c>
      <c r="FZ35" s="9">
        <v>3.49</v>
      </c>
      <c r="GA35" s="1">
        <v>0</v>
      </c>
      <c r="GB35">
        <v>3.8559999999999999</v>
      </c>
      <c r="GC35" s="1">
        <v>0</v>
      </c>
      <c r="GD35" s="1">
        <v>0</v>
      </c>
      <c r="GE35" s="10">
        <v>0</v>
      </c>
      <c r="GF35" s="10">
        <v>0</v>
      </c>
      <c r="GG35" s="1">
        <v>0</v>
      </c>
      <c r="GH35" s="1">
        <v>0</v>
      </c>
      <c r="GI35" s="10">
        <v>0</v>
      </c>
      <c r="GJ35" s="10">
        <v>0</v>
      </c>
      <c r="GK35" s="1">
        <v>0</v>
      </c>
      <c r="GL35" s="10">
        <v>0</v>
      </c>
      <c r="GM35" s="1">
        <v>0</v>
      </c>
      <c r="GN35" s="1">
        <v>0</v>
      </c>
      <c r="GO35" s="1">
        <v>0</v>
      </c>
      <c r="GP35" s="1">
        <v>0</v>
      </c>
      <c r="GQ35" s="1">
        <v>0</v>
      </c>
      <c r="GR35" s="1">
        <v>0</v>
      </c>
      <c r="GS35" s="1">
        <v>0</v>
      </c>
      <c r="GT35" s="1">
        <v>0</v>
      </c>
      <c r="GU35" s="1">
        <v>0</v>
      </c>
      <c r="GV35" s="1">
        <v>0</v>
      </c>
      <c r="GW35" s="1">
        <v>0</v>
      </c>
      <c r="GX35" s="1">
        <v>0</v>
      </c>
      <c r="GY35" s="1">
        <v>0</v>
      </c>
      <c r="GZ35" s="1">
        <v>4.6100000000000003</v>
      </c>
      <c r="HA35" s="1">
        <v>5.38</v>
      </c>
      <c r="HB35" s="1">
        <v>6.23</v>
      </c>
      <c r="HC35" s="1">
        <v>7.18</v>
      </c>
      <c r="HD35" s="1">
        <v>8.23</v>
      </c>
      <c r="HE35" s="1">
        <v>9.3800000000000008</v>
      </c>
      <c r="HF35" s="1">
        <v>10.62</v>
      </c>
      <c r="HG35" s="1">
        <v>11.95</v>
      </c>
      <c r="HH35" s="1">
        <v>13.37</v>
      </c>
      <c r="HI35" s="1">
        <v>14.87</v>
      </c>
      <c r="HJ35" s="1">
        <v>16.45</v>
      </c>
      <c r="HK35" s="1">
        <v>18.100000000000001</v>
      </c>
      <c r="HL35" s="1">
        <v>19.829999999999998</v>
      </c>
      <c r="HM35" s="1">
        <v>21.62</v>
      </c>
      <c r="HN35" s="1">
        <v>23.47</v>
      </c>
      <c r="HO35" s="1">
        <v>25.39</v>
      </c>
      <c r="HP35" s="1">
        <v>66.63</v>
      </c>
      <c r="HQ35">
        <v>49.48</v>
      </c>
      <c r="HR35" s="1">
        <v>41.48</v>
      </c>
      <c r="HS35" s="1">
        <v>37.22</v>
      </c>
      <c r="HT35" s="1">
        <v>0</v>
      </c>
      <c r="HU35" s="1">
        <v>36.1</v>
      </c>
      <c r="HV35" s="1">
        <v>40.39</v>
      </c>
      <c r="HW35" s="1">
        <v>106.37</v>
      </c>
      <c r="HX35" s="1">
        <v>73.41</v>
      </c>
      <c r="HY35" s="1">
        <v>59.18</v>
      </c>
      <c r="HZ35" s="1">
        <v>51.36</v>
      </c>
      <c r="IA35" s="1">
        <v>0</v>
      </c>
      <c r="IB35" s="1">
        <v>0</v>
      </c>
      <c r="IC35" s="1">
        <v>703.1</v>
      </c>
      <c r="ID35" s="1">
        <v>600.70000000000005</v>
      </c>
      <c r="IE35" s="1">
        <v>531.5</v>
      </c>
      <c r="IF35" s="1">
        <v>474</v>
      </c>
      <c r="IG35" s="1">
        <v>0</v>
      </c>
      <c r="IH35" s="1">
        <v>0</v>
      </c>
      <c r="II35" s="1">
        <v>0</v>
      </c>
      <c r="IJ35" s="1">
        <v>71.42</v>
      </c>
      <c r="IK35" s="1">
        <v>64.489999999999995</v>
      </c>
      <c r="IL35" s="1">
        <v>0</v>
      </c>
      <c r="IM35" s="1">
        <v>0</v>
      </c>
      <c r="IN35" s="1">
        <v>42.48</v>
      </c>
      <c r="IO35" s="1">
        <v>0</v>
      </c>
      <c r="IP35" s="1">
        <v>0</v>
      </c>
      <c r="IQ35" s="1">
        <v>0</v>
      </c>
      <c r="IR35" s="1">
        <v>0</v>
      </c>
      <c r="IS35" s="1">
        <v>0</v>
      </c>
      <c r="IT35" s="1">
        <v>0</v>
      </c>
      <c r="IU35" s="1">
        <v>0</v>
      </c>
      <c r="IV35" s="1">
        <v>0</v>
      </c>
      <c r="IW35" s="1">
        <v>0</v>
      </c>
      <c r="IX35" s="1">
        <v>0</v>
      </c>
      <c r="IY35" s="1">
        <v>0</v>
      </c>
      <c r="IZ35" s="1">
        <v>0</v>
      </c>
      <c r="JA35" s="1">
        <v>0</v>
      </c>
      <c r="JB35" s="1">
        <v>81.27</v>
      </c>
      <c r="JC35" s="1">
        <v>63.76</v>
      </c>
      <c r="JD35" s="1">
        <v>8.67</v>
      </c>
      <c r="JE35" s="1">
        <v>8.98</v>
      </c>
      <c r="JF35" s="1">
        <v>9.32</v>
      </c>
      <c r="JG35" s="1">
        <v>9.69</v>
      </c>
      <c r="JH35" s="1">
        <v>10.09</v>
      </c>
      <c r="JI35" s="1">
        <v>10.52</v>
      </c>
      <c r="JJ35" s="1">
        <v>39.770000000000003</v>
      </c>
      <c r="JK35" s="1">
        <v>48.41</v>
      </c>
      <c r="JL35" s="1">
        <v>57.37</v>
      </c>
      <c r="JM35" s="1">
        <v>66.709999999999994</v>
      </c>
      <c r="JN35" s="1">
        <v>76.489999999999995</v>
      </c>
      <c r="JO35" s="1">
        <v>86.75</v>
      </c>
      <c r="JP35" s="1">
        <v>95.39</v>
      </c>
      <c r="JQ35" s="1">
        <v>79.19</v>
      </c>
      <c r="JR35" s="1">
        <v>69.08</v>
      </c>
      <c r="JS35" s="1">
        <v>62.12</v>
      </c>
      <c r="JT35" s="1">
        <v>56.71</v>
      </c>
      <c r="JU35" s="1">
        <v>52.83</v>
      </c>
      <c r="JV35" s="1">
        <v>50.03</v>
      </c>
      <c r="JW35" s="1">
        <v>94.64</v>
      </c>
      <c r="JX35" s="1">
        <v>78.44</v>
      </c>
      <c r="JY35" s="1">
        <v>68.33</v>
      </c>
      <c r="JZ35" s="1">
        <v>61.37</v>
      </c>
      <c r="KA35" s="1">
        <v>55.96</v>
      </c>
      <c r="KB35" s="1">
        <v>52.08</v>
      </c>
      <c r="KC35" s="1">
        <v>49.28</v>
      </c>
    </row>
    <row r="36" spans="1:289" x14ac:dyDescent="0.15">
      <c r="A36" s="8">
        <v>44</v>
      </c>
      <c r="B36" s="1">
        <v>34.28</v>
      </c>
      <c r="C36" s="1">
        <v>101.61</v>
      </c>
      <c r="D36" s="1">
        <v>92.26</v>
      </c>
      <c r="E36" s="1">
        <v>84.56</v>
      </c>
      <c r="F36" s="1">
        <v>78.13</v>
      </c>
      <c r="G36" s="1">
        <v>72.7</v>
      </c>
      <c r="H36" s="1">
        <v>68.069999999999993</v>
      </c>
      <c r="I36" s="1">
        <v>64.09</v>
      </c>
      <c r="J36" s="1">
        <v>60.66</v>
      </c>
      <c r="K36" s="1">
        <v>57.67</v>
      </c>
      <c r="L36" s="1">
        <v>55.07</v>
      </c>
      <c r="M36" s="1">
        <v>52.79</v>
      </c>
      <c r="N36" s="1">
        <v>50.51</v>
      </c>
      <c r="O36" s="1">
        <v>48.49</v>
      </c>
      <c r="P36" s="1">
        <v>46.69</v>
      </c>
      <c r="Q36" s="1">
        <v>45.08</v>
      </c>
      <c r="R36" s="1">
        <v>43.64</v>
      </c>
      <c r="S36" s="1">
        <v>42.36</v>
      </c>
      <c r="T36" s="1">
        <v>41.22</v>
      </c>
      <c r="U36" s="1">
        <v>40.200000000000003</v>
      </c>
      <c r="V36" s="1">
        <v>39.299999999999997</v>
      </c>
      <c r="W36" s="1">
        <v>38.49</v>
      </c>
      <c r="X36" s="1">
        <v>37.78</v>
      </c>
      <c r="Y36" s="10">
        <v>0</v>
      </c>
      <c r="Z36" s="10">
        <v>0</v>
      </c>
      <c r="AA36" s="1">
        <v>0</v>
      </c>
      <c r="AB36" s="10">
        <v>0</v>
      </c>
      <c r="AC36" s="10">
        <v>0</v>
      </c>
      <c r="AD36" s="10">
        <v>0</v>
      </c>
      <c r="AE36" s="10">
        <v>0</v>
      </c>
      <c r="AF36" s="10">
        <v>0</v>
      </c>
      <c r="AG36" s="10">
        <v>0</v>
      </c>
      <c r="AH36" s="10">
        <v>0</v>
      </c>
      <c r="AI36" s="10">
        <v>0</v>
      </c>
      <c r="AJ36" s="10">
        <v>0</v>
      </c>
      <c r="AK36" s="10">
        <v>0</v>
      </c>
      <c r="AL36" s="10">
        <v>0</v>
      </c>
      <c r="AM36" s="10">
        <v>0</v>
      </c>
      <c r="AN36" s="10">
        <v>0</v>
      </c>
      <c r="AO36" s="10">
        <v>0</v>
      </c>
      <c r="AP36" s="10">
        <v>0</v>
      </c>
      <c r="AQ36" s="10">
        <v>0</v>
      </c>
      <c r="AR36" s="10">
        <v>0</v>
      </c>
      <c r="AS36" s="10">
        <v>0</v>
      </c>
      <c r="AT36" s="10">
        <v>0</v>
      </c>
      <c r="AU36" s="10">
        <v>0</v>
      </c>
      <c r="AV36" s="10">
        <v>0</v>
      </c>
      <c r="AW36" s="1">
        <v>69.790000000000006</v>
      </c>
      <c r="AX36" s="1">
        <v>62.95</v>
      </c>
      <c r="AY36" s="1">
        <v>57.75</v>
      </c>
      <c r="AZ36" s="1">
        <v>54.07</v>
      </c>
      <c r="BA36" s="1">
        <v>51.42</v>
      </c>
      <c r="BB36" s="6">
        <v>109.58</v>
      </c>
      <c r="BC36" s="6">
        <v>100.5</v>
      </c>
      <c r="BD36" s="6">
        <v>93.14</v>
      </c>
      <c r="BE36" s="6">
        <v>87.15</v>
      </c>
      <c r="BF36" s="6">
        <v>82.21</v>
      </c>
      <c r="BG36" s="6">
        <v>78.14</v>
      </c>
      <c r="BH36" s="6">
        <v>74.77</v>
      </c>
      <c r="BI36" s="6">
        <v>72</v>
      </c>
      <c r="BJ36" s="6">
        <v>69.73</v>
      </c>
      <c r="BK36" s="6">
        <v>67.900000000000006</v>
      </c>
      <c r="BL36" s="6">
        <v>66.44</v>
      </c>
      <c r="BM36" s="6">
        <v>65.010000000000005</v>
      </c>
      <c r="BN36" s="1">
        <v>0</v>
      </c>
      <c r="BO36" s="1">
        <v>0</v>
      </c>
      <c r="BP36" s="1">
        <v>0</v>
      </c>
      <c r="BQ36" s="1">
        <v>119.46</v>
      </c>
      <c r="BR36" s="1">
        <v>90.36</v>
      </c>
      <c r="BS36" s="1">
        <v>79.98</v>
      </c>
      <c r="BT36" s="1">
        <v>75.069999999999993</v>
      </c>
      <c r="BU36" s="1">
        <v>0</v>
      </c>
      <c r="BV36" s="10">
        <v>0</v>
      </c>
      <c r="BW36" s="1">
        <v>113.02</v>
      </c>
      <c r="BX36" s="1">
        <v>82.41</v>
      </c>
      <c r="BY36" s="1">
        <v>70.48</v>
      </c>
      <c r="BZ36" s="1">
        <v>64.75</v>
      </c>
      <c r="CA36" s="6">
        <v>114.46</v>
      </c>
      <c r="CB36" s="6">
        <v>106.45</v>
      </c>
      <c r="CC36" s="6">
        <v>100.08</v>
      </c>
      <c r="CD36" s="6">
        <v>94.96</v>
      </c>
      <c r="CE36" s="6">
        <v>90.84</v>
      </c>
      <c r="CF36" s="6">
        <v>87.51</v>
      </c>
      <c r="CG36" s="6">
        <v>85.4</v>
      </c>
      <c r="CH36" s="1">
        <v>83.46</v>
      </c>
      <c r="CI36" s="1">
        <v>82.34</v>
      </c>
      <c r="CJ36" s="1">
        <v>81.680000000000007</v>
      </c>
      <c r="CK36" s="1">
        <v>81.48</v>
      </c>
      <c r="CL36" s="1">
        <v>81.38</v>
      </c>
      <c r="CM36" s="1">
        <v>81.62</v>
      </c>
      <c r="CN36" s="1">
        <v>82.18</v>
      </c>
      <c r="CO36" s="1">
        <v>83.04</v>
      </c>
      <c r="CP36" s="1">
        <v>101.43</v>
      </c>
      <c r="CQ36" s="5">
        <v>91.98</v>
      </c>
      <c r="CR36" s="5">
        <v>84.16</v>
      </c>
      <c r="CS36" s="1">
        <v>77.61</v>
      </c>
      <c r="CT36" s="1">
        <v>72.05</v>
      </c>
      <c r="CU36" s="1">
        <v>67.28</v>
      </c>
      <c r="CV36" s="1">
        <v>63.15</v>
      </c>
      <c r="CW36" s="1">
        <v>59.55</v>
      </c>
      <c r="CX36" s="1">
        <v>56.39</v>
      </c>
      <c r="CY36" s="1">
        <v>53.6</v>
      </c>
      <c r="CZ36" s="1">
        <v>51.12</v>
      </c>
      <c r="DA36" s="1">
        <v>48.62</v>
      </c>
      <c r="DB36" s="1">
        <v>46.35</v>
      </c>
      <c r="DC36" s="1">
        <v>44.29</v>
      </c>
      <c r="DD36" s="1">
        <v>42.41</v>
      </c>
      <c r="DE36" s="1">
        <v>106.3</v>
      </c>
      <c r="DF36">
        <v>104.46</v>
      </c>
      <c r="DG36">
        <v>103.21</v>
      </c>
      <c r="DH36">
        <v>102.44</v>
      </c>
      <c r="DI36">
        <v>102.07</v>
      </c>
      <c r="DJ36" s="1">
        <v>102.04</v>
      </c>
      <c r="DK36" s="1">
        <v>102.04</v>
      </c>
      <c r="DL36" s="1">
        <v>102.29</v>
      </c>
      <c r="DM36" s="1">
        <v>102.76</v>
      </c>
      <c r="DN36" s="1">
        <v>103.43</v>
      </c>
      <c r="DO36" s="1">
        <v>104.26</v>
      </c>
      <c r="DP36" s="1">
        <v>8.1300000000000008</v>
      </c>
      <c r="DQ36" s="1">
        <v>11.03</v>
      </c>
      <c r="DR36" s="1">
        <v>14.55</v>
      </c>
      <c r="DS36" s="1">
        <v>20.13</v>
      </c>
      <c r="DT36" s="1">
        <v>22.6</v>
      </c>
      <c r="DU36" s="1">
        <v>5.43</v>
      </c>
      <c r="DV36" s="1">
        <v>6.03</v>
      </c>
      <c r="DW36" s="1">
        <v>6.63</v>
      </c>
      <c r="DX36" s="1">
        <v>7.23</v>
      </c>
      <c r="DY36" s="1">
        <v>7.83</v>
      </c>
      <c r="DZ36" s="1">
        <v>8.43</v>
      </c>
      <c r="EA36" s="1">
        <v>9.27</v>
      </c>
      <c r="EB36" s="1">
        <v>9.9600000000000009</v>
      </c>
      <c r="EC36" s="1">
        <v>10.81</v>
      </c>
      <c r="ED36" s="1">
        <v>11.7</v>
      </c>
      <c r="EE36" s="1">
        <v>12.65</v>
      </c>
      <c r="EF36" s="1">
        <v>13.65</v>
      </c>
      <c r="EG36" s="10">
        <v>0</v>
      </c>
      <c r="EH36" s="10">
        <v>0</v>
      </c>
      <c r="EI36" s="10">
        <v>0</v>
      </c>
      <c r="EJ36" s="10">
        <v>0</v>
      </c>
      <c r="EK36" s="1">
        <v>0</v>
      </c>
      <c r="EL36" s="10">
        <v>0</v>
      </c>
      <c r="EM36" s="10">
        <v>0</v>
      </c>
      <c r="EN36" s="10">
        <v>0</v>
      </c>
      <c r="EO36" s="10">
        <v>0</v>
      </c>
      <c r="EP36" s="10">
        <v>0</v>
      </c>
      <c r="EQ36" s="10">
        <v>0</v>
      </c>
      <c r="ER36" s="10">
        <v>0</v>
      </c>
      <c r="ES36" s="10">
        <v>0</v>
      </c>
      <c r="ET36" s="10">
        <v>0</v>
      </c>
      <c r="EU36" s="10">
        <v>0</v>
      </c>
      <c r="EV36" s="10">
        <v>0</v>
      </c>
      <c r="EW36" s="10">
        <v>0</v>
      </c>
      <c r="EX36" s="10">
        <v>0</v>
      </c>
      <c r="EY36" s="10">
        <v>0</v>
      </c>
      <c r="EZ36" s="10">
        <v>0</v>
      </c>
      <c r="FA36" s="10">
        <v>0</v>
      </c>
      <c r="FB36" s="10">
        <v>0</v>
      </c>
      <c r="FC36" s="10">
        <v>0</v>
      </c>
      <c r="FD36" s="10">
        <v>0</v>
      </c>
      <c r="FE36" s="1">
        <v>9.91</v>
      </c>
      <c r="FF36" s="1">
        <v>10.5</v>
      </c>
      <c r="FG36" s="1">
        <v>11.08</v>
      </c>
      <c r="FH36" s="1">
        <v>11.67</v>
      </c>
      <c r="FI36" s="1">
        <v>12.25</v>
      </c>
      <c r="FJ36" s="1">
        <v>12.84</v>
      </c>
      <c r="FK36" s="1">
        <v>13.51</v>
      </c>
      <c r="FL36" s="1">
        <v>14.18</v>
      </c>
      <c r="FM36" s="1">
        <v>14.85</v>
      </c>
      <c r="FN36" s="1">
        <v>15.52</v>
      </c>
      <c r="FO36" s="1">
        <v>16.190000000000001</v>
      </c>
      <c r="FP36" s="1">
        <v>16.87</v>
      </c>
      <c r="FQ36" s="1">
        <v>17.559999999999999</v>
      </c>
      <c r="FR36" s="1">
        <v>18.239999999999998</v>
      </c>
      <c r="FS36" s="1">
        <v>18.93</v>
      </c>
      <c r="FT36" s="1">
        <v>19.61</v>
      </c>
      <c r="FU36" s="9">
        <v>2.9689999999999999</v>
      </c>
      <c r="FV36">
        <v>3.1360000000000001</v>
      </c>
      <c r="FW36" s="1">
        <v>0</v>
      </c>
      <c r="FX36" s="1">
        <v>0</v>
      </c>
      <c r="FY36" s="1">
        <v>0</v>
      </c>
      <c r="FZ36" s="9">
        <v>3.802</v>
      </c>
      <c r="GA36">
        <v>3.9889999999999999</v>
      </c>
      <c r="GB36" s="1">
        <v>0</v>
      </c>
      <c r="GC36" s="1">
        <v>0</v>
      </c>
      <c r="GD36" s="1">
        <v>0</v>
      </c>
      <c r="GE36" s="10">
        <v>0</v>
      </c>
      <c r="GF36" s="10">
        <v>0</v>
      </c>
      <c r="GG36" s="1">
        <v>0</v>
      </c>
      <c r="GH36" s="1">
        <v>0</v>
      </c>
      <c r="GI36" s="10">
        <v>0</v>
      </c>
      <c r="GJ36" s="1">
        <v>0</v>
      </c>
      <c r="GK36" s="1">
        <v>0</v>
      </c>
      <c r="GL36" s="1">
        <v>0</v>
      </c>
      <c r="GM36" s="1">
        <v>0</v>
      </c>
      <c r="GN36" s="1">
        <v>0</v>
      </c>
      <c r="GO36" s="10">
        <v>0</v>
      </c>
      <c r="GP36" s="1">
        <v>0</v>
      </c>
      <c r="GQ36" s="1">
        <v>0</v>
      </c>
      <c r="GR36" s="1">
        <v>0</v>
      </c>
      <c r="GS36" s="1">
        <v>0</v>
      </c>
      <c r="GT36" s="1">
        <v>0</v>
      </c>
      <c r="GU36" s="1">
        <v>0</v>
      </c>
      <c r="GV36" s="1">
        <v>0</v>
      </c>
      <c r="GW36" s="1">
        <v>0</v>
      </c>
      <c r="GX36" s="1">
        <v>0</v>
      </c>
      <c r="GY36" s="1">
        <v>0</v>
      </c>
      <c r="GZ36" s="1">
        <v>5.16</v>
      </c>
      <c r="HA36" s="1">
        <v>6.02</v>
      </c>
      <c r="HB36" s="1">
        <v>6.98</v>
      </c>
      <c r="HC36" s="1">
        <v>8.0399999999999991</v>
      </c>
      <c r="HD36" s="1">
        <v>9.1999999999999993</v>
      </c>
      <c r="HE36" s="1">
        <v>10.45</v>
      </c>
      <c r="HF36" s="1">
        <v>11.8</v>
      </c>
      <c r="HG36" s="1">
        <v>13.24</v>
      </c>
      <c r="HH36" s="1">
        <v>14.76</v>
      </c>
      <c r="HI36" s="1">
        <v>16.36</v>
      </c>
      <c r="HJ36" s="1">
        <v>18.04</v>
      </c>
      <c r="HK36" s="1">
        <v>19.8</v>
      </c>
      <c r="HL36" s="1">
        <v>21.62</v>
      </c>
      <c r="HM36" s="1">
        <v>23.51</v>
      </c>
      <c r="HN36" s="1">
        <v>25.46</v>
      </c>
      <c r="HO36" s="1">
        <v>27.47</v>
      </c>
      <c r="HP36" s="1">
        <v>68.260000000000005</v>
      </c>
      <c r="HQ36" s="1">
        <v>50.8</v>
      </c>
      <c r="HR36" s="1">
        <v>42.7</v>
      </c>
      <c r="HS36" s="1">
        <v>38.42</v>
      </c>
      <c r="HT36" s="1">
        <v>0</v>
      </c>
      <c r="HU36" s="1">
        <v>37.83</v>
      </c>
      <c r="HV36" s="1">
        <v>42.36</v>
      </c>
      <c r="HW36" s="1">
        <v>107.02</v>
      </c>
      <c r="HX36" s="1">
        <v>74.349999999999994</v>
      </c>
      <c r="HY36" s="1">
        <v>60.41</v>
      </c>
      <c r="HZ36" s="1">
        <v>52.87</v>
      </c>
      <c r="IA36" s="1">
        <v>0</v>
      </c>
      <c r="IB36" s="1">
        <v>0</v>
      </c>
      <c r="IC36" s="1">
        <v>703.1</v>
      </c>
      <c r="ID36" s="1">
        <v>600.70000000000005</v>
      </c>
      <c r="IE36" s="1">
        <v>531.5</v>
      </c>
      <c r="IF36" s="1">
        <v>474</v>
      </c>
      <c r="IG36" s="1">
        <v>0</v>
      </c>
      <c r="IH36" s="1">
        <v>0</v>
      </c>
      <c r="II36" s="1">
        <v>0</v>
      </c>
      <c r="IJ36" s="1">
        <v>72.290000000000006</v>
      </c>
      <c r="IK36" s="1">
        <v>65.45</v>
      </c>
      <c r="IL36" s="1">
        <v>0</v>
      </c>
      <c r="IM36" s="1">
        <v>44.35</v>
      </c>
      <c r="IN36" s="1">
        <v>0</v>
      </c>
      <c r="IO36" s="1">
        <v>0</v>
      </c>
      <c r="IP36" s="1">
        <v>0</v>
      </c>
      <c r="IQ36" s="1">
        <v>0</v>
      </c>
      <c r="IR36" s="1">
        <v>0</v>
      </c>
      <c r="IS36" s="1">
        <v>0</v>
      </c>
      <c r="IT36" s="1">
        <v>0</v>
      </c>
      <c r="IU36" s="1">
        <v>0</v>
      </c>
      <c r="IV36" s="1">
        <v>0</v>
      </c>
      <c r="IW36" s="1">
        <v>0</v>
      </c>
      <c r="IX36" s="1">
        <v>0</v>
      </c>
      <c r="IY36" s="1">
        <v>0</v>
      </c>
      <c r="IZ36" s="1">
        <v>0</v>
      </c>
      <c r="JA36" s="1">
        <v>0</v>
      </c>
      <c r="JB36" s="1">
        <v>81.78</v>
      </c>
      <c r="JC36" s="1">
        <v>64.38</v>
      </c>
      <c r="JD36" s="1">
        <v>9.2899999999999991</v>
      </c>
      <c r="JE36" s="1">
        <v>9.65</v>
      </c>
      <c r="JF36" s="1">
        <v>10.039999999999999</v>
      </c>
      <c r="JG36" s="1">
        <v>10.46</v>
      </c>
      <c r="JH36" s="1">
        <v>10.92</v>
      </c>
      <c r="JI36" s="1">
        <v>11.41</v>
      </c>
      <c r="JJ36" s="1">
        <v>42.57</v>
      </c>
      <c r="JK36" s="1">
        <v>51.92</v>
      </c>
      <c r="JL36" s="1">
        <v>61.67</v>
      </c>
      <c r="JM36" s="1">
        <v>71.88</v>
      </c>
      <c r="JN36" s="1">
        <v>82.6</v>
      </c>
      <c r="JO36" s="1">
        <v>93.85</v>
      </c>
      <c r="JP36" s="1">
        <v>95.98</v>
      </c>
      <c r="JQ36" s="1">
        <v>79.900000000000006</v>
      </c>
      <c r="JR36" s="1">
        <v>69.900000000000006</v>
      </c>
      <c r="JS36" s="1">
        <v>63.03</v>
      </c>
      <c r="JT36" s="1">
        <v>57.71</v>
      </c>
      <c r="JU36" s="1">
        <v>53.92</v>
      </c>
      <c r="JV36" s="1">
        <v>51.2</v>
      </c>
      <c r="JW36" s="1">
        <v>95.23</v>
      </c>
      <c r="JX36" s="1">
        <v>79.150000000000006</v>
      </c>
      <c r="JY36" s="1">
        <v>69.150000000000006</v>
      </c>
      <c r="JZ36" s="1">
        <v>62.28</v>
      </c>
      <c r="KA36" s="1">
        <v>56.96</v>
      </c>
      <c r="KB36" s="1">
        <v>53.17</v>
      </c>
      <c r="KC36" s="1">
        <v>50.45</v>
      </c>
    </row>
    <row r="37" spans="1:289" x14ac:dyDescent="0.15">
      <c r="A37" s="8">
        <v>45</v>
      </c>
      <c r="B37" s="1">
        <v>35.72</v>
      </c>
      <c r="C37" s="1">
        <v>101.97</v>
      </c>
      <c r="D37" s="1">
        <v>92.65</v>
      </c>
      <c r="E37" s="1">
        <v>84.98</v>
      </c>
      <c r="F37" s="1">
        <v>78.59</v>
      </c>
      <c r="G37" s="1">
        <v>73.19</v>
      </c>
      <c r="H37" s="1">
        <v>68.59</v>
      </c>
      <c r="I37" s="1">
        <v>64.650000000000006</v>
      </c>
      <c r="J37" s="1">
        <v>61.24</v>
      </c>
      <c r="K37" s="1">
        <v>58.29</v>
      </c>
      <c r="L37" s="1">
        <v>55.72</v>
      </c>
      <c r="M37" s="1">
        <v>53.47</v>
      </c>
      <c r="N37" s="1">
        <v>51.23</v>
      </c>
      <c r="O37" s="1">
        <v>49.24</v>
      </c>
      <c r="P37" s="1">
        <v>47.47</v>
      </c>
      <c r="Q37" s="1">
        <v>45.89</v>
      </c>
      <c r="R37" s="1">
        <v>44.49</v>
      </c>
      <c r="S37" s="1">
        <v>43.24</v>
      </c>
      <c r="T37" s="1">
        <v>42.13</v>
      </c>
      <c r="U37" s="1">
        <v>41.15</v>
      </c>
      <c r="V37" s="1">
        <v>40.28</v>
      </c>
      <c r="W37" s="1">
        <v>39.51</v>
      </c>
      <c r="X37" s="10">
        <v>0</v>
      </c>
      <c r="Y37" s="10">
        <v>0</v>
      </c>
      <c r="Z37" s="1">
        <v>0</v>
      </c>
      <c r="AA37" s="10">
        <v>0</v>
      </c>
      <c r="AB37" s="10">
        <v>0</v>
      </c>
      <c r="AC37" s="10">
        <v>0</v>
      </c>
      <c r="AD37" s="10">
        <v>0</v>
      </c>
      <c r="AE37" s="10">
        <v>0</v>
      </c>
      <c r="AF37" s="10">
        <v>0</v>
      </c>
      <c r="AG37" s="10">
        <v>0</v>
      </c>
      <c r="AH37" s="10">
        <v>0</v>
      </c>
      <c r="AI37" s="10">
        <v>0</v>
      </c>
      <c r="AJ37" s="10">
        <v>0</v>
      </c>
      <c r="AK37" s="10">
        <v>0</v>
      </c>
      <c r="AL37" s="10">
        <v>0</v>
      </c>
      <c r="AM37" s="10">
        <v>0</v>
      </c>
      <c r="AN37" s="10">
        <v>0</v>
      </c>
      <c r="AO37" s="10">
        <v>0</v>
      </c>
      <c r="AP37" s="10">
        <v>0</v>
      </c>
      <c r="AQ37" s="10">
        <v>0</v>
      </c>
      <c r="AR37" s="10">
        <v>0</v>
      </c>
      <c r="AS37" s="10">
        <v>0</v>
      </c>
      <c r="AT37" s="10">
        <v>0</v>
      </c>
      <c r="AU37" s="10">
        <v>0</v>
      </c>
      <c r="AV37" s="10">
        <v>0</v>
      </c>
      <c r="AW37" s="1">
        <v>70.77</v>
      </c>
      <c r="AX37" s="1">
        <v>64</v>
      </c>
      <c r="AY37" s="1">
        <v>58.9</v>
      </c>
      <c r="AZ37" s="1">
        <v>55.3</v>
      </c>
      <c r="BA37" s="1">
        <v>52.72</v>
      </c>
      <c r="BB37" s="6">
        <v>110.24</v>
      </c>
      <c r="BC37" s="6">
        <v>101.23</v>
      </c>
      <c r="BD37" s="6">
        <v>93.96</v>
      </c>
      <c r="BE37" s="6">
        <v>88.04</v>
      </c>
      <c r="BF37" s="6">
        <v>83.19</v>
      </c>
      <c r="BG37" s="6">
        <v>79.209999999999994</v>
      </c>
      <c r="BH37" s="6">
        <v>75.94</v>
      </c>
      <c r="BI37" s="6">
        <v>73.27</v>
      </c>
      <c r="BJ37" s="6">
        <v>71.099999999999994</v>
      </c>
      <c r="BK37" s="6">
        <v>69.38</v>
      </c>
      <c r="BL37" s="6">
        <v>68.03</v>
      </c>
      <c r="BM37" s="1">
        <v>0</v>
      </c>
      <c r="BN37" s="1">
        <v>0</v>
      </c>
      <c r="BO37" s="1">
        <v>0</v>
      </c>
      <c r="BP37" s="1">
        <v>0</v>
      </c>
      <c r="BQ37" s="1">
        <v>121.74</v>
      </c>
      <c r="BR37" s="1">
        <v>93.24</v>
      </c>
      <c r="BS37" s="1">
        <v>83.25</v>
      </c>
      <c r="BT37" s="1">
        <v>78.58</v>
      </c>
      <c r="BU37" s="1">
        <v>0</v>
      </c>
      <c r="BV37" s="10">
        <v>0</v>
      </c>
      <c r="BW37" s="1">
        <v>114.39</v>
      </c>
      <c r="BX37" s="1">
        <v>84.22</v>
      </c>
      <c r="BY37" s="1">
        <v>72.64</v>
      </c>
      <c r="BZ37" s="1">
        <v>67.260000000000005</v>
      </c>
      <c r="CA37" s="6">
        <v>115.73</v>
      </c>
      <c r="CB37" s="6">
        <v>107.92</v>
      </c>
      <c r="CC37" s="6">
        <v>101.76</v>
      </c>
      <c r="CD37" s="6">
        <v>96.85</v>
      </c>
      <c r="CE37" s="6">
        <v>92.94</v>
      </c>
      <c r="CF37" s="6">
        <v>89.81</v>
      </c>
      <c r="CG37" s="6">
        <v>87.69</v>
      </c>
      <c r="CH37" s="1">
        <v>86.24</v>
      </c>
      <c r="CI37" s="1">
        <v>85.35</v>
      </c>
      <c r="CJ37" s="1">
        <v>84.97</v>
      </c>
      <c r="CK37" s="1">
        <v>85.02</v>
      </c>
      <c r="CL37" s="1">
        <v>85.16</v>
      </c>
      <c r="CM37" s="1">
        <v>85.67</v>
      </c>
      <c r="CN37" s="1">
        <v>86.5</v>
      </c>
      <c r="CO37" s="1">
        <v>87.63</v>
      </c>
      <c r="CP37" s="1">
        <v>101.72</v>
      </c>
      <c r="CQ37" s="5">
        <v>92.28</v>
      </c>
      <c r="CR37" s="5">
        <v>84.48</v>
      </c>
      <c r="CS37" s="1">
        <v>77.94</v>
      </c>
      <c r="CT37" s="1">
        <v>72.39</v>
      </c>
      <c r="CU37" s="1">
        <v>67.64</v>
      </c>
      <c r="CV37" s="1">
        <v>63.52</v>
      </c>
      <c r="CW37" s="1">
        <v>59.94</v>
      </c>
      <c r="CX37" s="1">
        <v>56.79</v>
      </c>
      <c r="CY37" s="1">
        <v>54.01</v>
      </c>
      <c r="CZ37" s="1">
        <v>51.54</v>
      </c>
      <c r="DA37" s="1">
        <v>49.05</v>
      </c>
      <c r="DB37" s="1">
        <v>46.79</v>
      </c>
      <c r="DC37" s="1">
        <v>44.74</v>
      </c>
      <c r="DD37" s="1">
        <v>42.86</v>
      </c>
      <c r="DE37">
        <v>111.16</v>
      </c>
      <c r="DF37">
        <v>109.51</v>
      </c>
      <c r="DG37">
        <v>108.43</v>
      </c>
      <c r="DH37">
        <v>107.82</v>
      </c>
      <c r="DI37">
        <v>107.61</v>
      </c>
      <c r="DJ37" s="1">
        <v>107.74</v>
      </c>
      <c r="DK37" s="1">
        <v>107.88</v>
      </c>
      <c r="DL37" s="1">
        <v>108.28</v>
      </c>
      <c r="DM37" s="1">
        <v>108.89</v>
      </c>
      <c r="DN37" s="1">
        <v>109.69</v>
      </c>
      <c r="DO37" s="1">
        <v>110.65</v>
      </c>
      <c r="DP37" s="1">
        <v>9.08</v>
      </c>
      <c r="DQ37" s="1">
        <v>12.33</v>
      </c>
      <c r="DR37" s="1">
        <v>16.23</v>
      </c>
      <c r="DS37" s="1">
        <v>22.18</v>
      </c>
      <c r="DT37" s="1">
        <v>24.7</v>
      </c>
      <c r="DU37" s="1">
        <v>5.84</v>
      </c>
      <c r="DV37" s="1">
        <v>6.52</v>
      </c>
      <c r="DW37" s="1">
        <v>7.2</v>
      </c>
      <c r="DX37" s="1">
        <v>7.88</v>
      </c>
      <c r="DY37" s="1">
        <v>8.56</v>
      </c>
      <c r="DZ37" s="1">
        <v>9.24</v>
      </c>
      <c r="EA37" s="1">
        <v>10.07</v>
      </c>
      <c r="EB37" s="1">
        <v>10.96</v>
      </c>
      <c r="EC37" s="1">
        <v>11.9</v>
      </c>
      <c r="ED37" s="1">
        <v>12.9</v>
      </c>
      <c r="EE37" s="1">
        <v>13.95</v>
      </c>
      <c r="EF37" s="10">
        <v>0</v>
      </c>
      <c r="EG37" s="10">
        <v>0</v>
      </c>
      <c r="EH37" s="10">
        <v>0</v>
      </c>
      <c r="EI37" s="10">
        <v>0</v>
      </c>
      <c r="EJ37" s="1">
        <v>0</v>
      </c>
      <c r="EK37" s="10">
        <v>0</v>
      </c>
      <c r="EL37" s="10">
        <v>0</v>
      </c>
      <c r="EM37" s="10">
        <v>0</v>
      </c>
      <c r="EN37" s="10">
        <v>0</v>
      </c>
      <c r="EO37" s="10">
        <v>0</v>
      </c>
      <c r="EP37" s="10">
        <v>0</v>
      </c>
      <c r="EQ37" s="10">
        <v>0</v>
      </c>
      <c r="ER37" s="10">
        <v>0</v>
      </c>
      <c r="ES37" s="10">
        <v>0</v>
      </c>
      <c r="ET37" s="10">
        <v>0</v>
      </c>
      <c r="EU37" s="10">
        <v>0</v>
      </c>
      <c r="EV37" s="10">
        <v>0</v>
      </c>
      <c r="EW37" s="10">
        <v>0</v>
      </c>
      <c r="EX37" s="10">
        <v>0</v>
      </c>
      <c r="EY37" s="10">
        <v>0</v>
      </c>
      <c r="EZ37" s="10">
        <v>0</v>
      </c>
      <c r="FA37" s="10">
        <v>0</v>
      </c>
      <c r="FB37" s="10">
        <v>0</v>
      </c>
      <c r="FC37" s="10">
        <v>0</v>
      </c>
      <c r="FD37" s="10">
        <v>0</v>
      </c>
      <c r="FE37" s="1">
        <v>10.92</v>
      </c>
      <c r="FF37" s="1">
        <v>11.56</v>
      </c>
      <c r="FG37" s="1">
        <v>12.2</v>
      </c>
      <c r="FH37" s="1">
        <v>12.85</v>
      </c>
      <c r="FI37" s="1">
        <v>13.49</v>
      </c>
      <c r="FJ37" s="1">
        <v>14.13</v>
      </c>
      <c r="FK37" s="1">
        <v>14.84</v>
      </c>
      <c r="FL37" s="1">
        <v>15.55</v>
      </c>
      <c r="FM37" s="1">
        <v>16.329999999999998</v>
      </c>
      <c r="FN37" s="1">
        <v>16.96</v>
      </c>
      <c r="FO37" s="1">
        <v>17.670000000000002</v>
      </c>
      <c r="FP37" s="1">
        <v>18.39</v>
      </c>
      <c r="FQ37" s="1">
        <v>19.11</v>
      </c>
      <c r="FR37" s="1">
        <v>19.829999999999998</v>
      </c>
      <c r="FS37" s="1">
        <v>20.55</v>
      </c>
      <c r="FT37" s="1">
        <v>21.27</v>
      </c>
      <c r="FU37" s="9">
        <v>3.177</v>
      </c>
      <c r="FV37" s="1">
        <v>0</v>
      </c>
      <c r="FW37" s="1">
        <v>0</v>
      </c>
      <c r="FX37" s="1">
        <v>0</v>
      </c>
      <c r="FY37" s="1">
        <v>0</v>
      </c>
      <c r="FZ37" s="9">
        <v>4.1150000000000002</v>
      </c>
      <c r="GA37" s="1">
        <v>0</v>
      </c>
      <c r="GB37" s="1">
        <v>0</v>
      </c>
      <c r="GC37" s="10">
        <v>0</v>
      </c>
      <c r="GD37" s="1">
        <v>0</v>
      </c>
      <c r="GE37" s="10">
        <v>0</v>
      </c>
      <c r="GF37" s="10">
        <v>0</v>
      </c>
      <c r="GG37" s="1">
        <v>0</v>
      </c>
      <c r="GH37" s="1">
        <v>0</v>
      </c>
      <c r="GI37" s="1">
        <v>0</v>
      </c>
      <c r="GJ37" s="10">
        <v>0</v>
      </c>
      <c r="GK37" s="1">
        <v>0</v>
      </c>
      <c r="GL37" s="10">
        <v>0</v>
      </c>
      <c r="GM37" s="1">
        <v>0</v>
      </c>
      <c r="GN37" s="1">
        <v>0</v>
      </c>
      <c r="GO37" s="1">
        <v>0</v>
      </c>
      <c r="GP37" s="1">
        <v>0</v>
      </c>
      <c r="GQ37" s="1">
        <v>0</v>
      </c>
      <c r="GR37" s="1">
        <v>0</v>
      </c>
      <c r="GS37" s="1">
        <v>0</v>
      </c>
      <c r="GT37" s="10">
        <v>0</v>
      </c>
      <c r="GU37" s="1">
        <v>0</v>
      </c>
      <c r="GV37" s="1">
        <v>0</v>
      </c>
      <c r="GW37" s="1">
        <v>0</v>
      </c>
      <c r="GX37" s="1">
        <v>0</v>
      </c>
      <c r="GY37" s="10">
        <v>0</v>
      </c>
      <c r="GZ37" s="1">
        <v>5.78</v>
      </c>
      <c r="HA37" s="1">
        <v>6.75</v>
      </c>
      <c r="HB37" s="1">
        <v>7.81</v>
      </c>
      <c r="HC37" s="1">
        <v>8.98</v>
      </c>
      <c r="HD37" s="1">
        <v>10.25</v>
      </c>
      <c r="HE37" s="1">
        <v>11.62</v>
      </c>
      <c r="HF37" s="1">
        <v>13.07</v>
      </c>
      <c r="HG37" s="1">
        <v>14.62</v>
      </c>
      <c r="HH37" s="1">
        <v>16.239999999999998</v>
      </c>
      <c r="HI37" s="1">
        <v>17.95</v>
      </c>
      <c r="HJ37" s="1">
        <v>19.73</v>
      </c>
      <c r="HK37" s="1">
        <v>21.59</v>
      </c>
      <c r="HL37" s="1">
        <v>23.51</v>
      </c>
      <c r="HM37" s="1">
        <v>25.5</v>
      </c>
      <c r="HN37" s="1">
        <v>27.55</v>
      </c>
      <c r="HO37" s="1">
        <v>29.66</v>
      </c>
      <c r="HP37" s="1">
        <v>69.94</v>
      </c>
      <c r="HQ37">
        <v>52.18</v>
      </c>
      <c r="HR37" s="1">
        <v>43.98</v>
      </c>
      <c r="HS37" s="1">
        <v>39.68</v>
      </c>
      <c r="HT37" s="1">
        <v>0</v>
      </c>
      <c r="HU37" s="1">
        <v>39.68</v>
      </c>
      <c r="HV37" s="1">
        <v>44.49</v>
      </c>
      <c r="HW37" s="1">
        <v>107.78</v>
      </c>
      <c r="HX37" s="1">
        <v>75.41</v>
      </c>
      <c r="HY37" s="1">
        <v>61.79</v>
      </c>
      <c r="HZ37" s="1">
        <v>54.54</v>
      </c>
      <c r="IA37" s="1">
        <v>0</v>
      </c>
      <c r="IB37" s="1">
        <v>0</v>
      </c>
      <c r="IC37" s="1">
        <v>703.1</v>
      </c>
      <c r="ID37" s="1">
        <v>600.70000000000005</v>
      </c>
      <c r="IE37" s="1">
        <v>531.5</v>
      </c>
      <c r="IF37" s="1">
        <v>474</v>
      </c>
      <c r="IG37" s="1">
        <v>0</v>
      </c>
      <c r="IH37" s="1">
        <v>0</v>
      </c>
      <c r="II37" s="1">
        <v>0</v>
      </c>
      <c r="IJ37" s="1">
        <v>73.27</v>
      </c>
      <c r="IK37" s="1">
        <v>66.5</v>
      </c>
      <c r="IL37" s="1">
        <v>46.32</v>
      </c>
      <c r="IM37" s="1">
        <v>0</v>
      </c>
      <c r="IN37" s="1">
        <v>0</v>
      </c>
      <c r="IO37" s="1">
        <v>0</v>
      </c>
      <c r="IP37" s="1">
        <v>0</v>
      </c>
      <c r="IQ37" s="1">
        <v>0</v>
      </c>
      <c r="IR37" s="1">
        <v>0</v>
      </c>
      <c r="IS37" s="1">
        <v>0</v>
      </c>
      <c r="IT37" s="1">
        <v>0</v>
      </c>
      <c r="IU37" s="1">
        <v>0</v>
      </c>
      <c r="IV37" s="1">
        <v>0</v>
      </c>
      <c r="IW37" s="1">
        <v>0</v>
      </c>
      <c r="IX37" s="1">
        <v>0</v>
      </c>
      <c r="IY37" s="1">
        <v>0</v>
      </c>
      <c r="IZ37" s="1">
        <v>0</v>
      </c>
      <c r="JA37" s="1">
        <v>0</v>
      </c>
      <c r="JB37" s="1">
        <v>82.3</v>
      </c>
      <c r="JC37" s="1">
        <v>64.989999999999995</v>
      </c>
      <c r="JD37" s="1">
        <v>10</v>
      </c>
      <c r="JE37" s="1">
        <v>10.41</v>
      </c>
      <c r="JF37" s="1">
        <v>10.86</v>
      </c>
      <c r="JG37" s="1">
        <v>11.34</v>
      </c>
      <c r="JH37" s="1">
        <v>11.86</v>
      </c>
      <c r="JI37" s="1">
        <v>12.42</v>
      </c>
      <c r="JJ37" s="1">
        <v>45.77</v>
      </c>
      <c r="JK37" s="1">
        <v>55.95</v>
      </c>
      <c r="JL37" s="1">
        <v>66.61</v>
      </c>
      <c r="JM37" s="1">
        <v>77.8</v>
      </c>
      <c r="JN37" s="1">
        <v>89.55</v>
      </c>
      <c r="JO37" s="1">
        <v>101.88</v>
      </c>
      <c r="JP37" s="1">
        <v>96.65</v>
      </c>
      <c r="JQ37" s="1">
        <v>80.69</v>
      </c>
      <c r="JR37" s="1">
        <v>70.8</v>
      </c>
      <c r="JS37" s="1">
        <v>64.03</v>
      </c>
      <c r="JT37" s="1">
        <v>58.8</v>
      </c>
      <c r="JU37" s="1">
        <v>55.1</v>
      </c>
      <c r="JV37" s="1">
        <v>52.46</v>
      </c>
      <c r="JW37" s="1">
        <v>95.9</v>
      </c>
      <c r="JX37" s="1">
        <v>79.94</v>
      </c>
      <c r="JY37" s="1">
        <v>70.05</v>
      </c>
      <c r="JZ37" s="1">
        <v>63.28</v>
      </c>
      <c r="KA37" s="1">
        <v>58.05</v>
      </c>
      <c r="KB37" s="1">
        <v>54.35</v>
      </c>
      <c r="KC37" s="1">
        <v>51.71</v>
      </c>
    </row>
    <row r="38" spans="1:289" x14ac:dyDescent="0.15">
      <c r="A38" s="8">
        <v>46</v>
      </c>
      <c r="B38" s="1">
        <v>37.25</v>
      </c>
      <c r="C38" s="1">
        <v>102.4</v>
      </c>
      <c r="D38" s="1">
        <v>93.11</v>
      </c>
      <c r="E38" s="1">
        <v>85.47</v>
      </c>
      <c r="F38" s="1">
        <v>79.11</v>
      </c>
      <c r="G38" s="1">
        <v>73.739999999999995</v>
      </c>
      <c r="H38" s="1">
        <v>69.180000000000007</v>
      </c>
      <c r="I38" s="1">
        <v>65.27</v>
      </c>
      <c r="J38" s="1">
        <v>61.9</v>
      </c>
      <c r="K38" s="1">
        <v>58.98</v>
      </c>
      <c r="L38" s="1">
        <v>56.44</v>
      </c>
      <c r="M38" s="1">
        <v>54.23</v>
      </c>
      <c r="N38" s="1">
        <v>52.02</v>
      </c>
      <c r="O38" s="1">
        <v>50.07</v>
      </c>
      <c r="P38" s="1">
        <v>48.33</v>
      </c>
      <c r="Q38" s="1">
        <v>46.79</v>
      </c>
      <c r="R38" s="1">
        <v>45.42</v>
      </c>
      <c r="S38" s="1">
        <v>44.21</v>
      </c>
      <c r="T38" s="1">
        <v>43.13</v>
      </c>
      <c r="U38" s="1">
        <v>42.19</v>
      </c>
      <c r="V38" s="1">
        <v>41.35</v>
      </c>
      <c r="W38" s="10">
        <v>0</v>
      </c>
      <c r="X38" s="10">
        <v>0</v>
      </c>
      <c r="Y38" s="1">
        <v>0</v>
      </c>
      <c r="Z38" s="10">
        <v>0</v>
      </c>
      <c r="AA38" s="10">
        <v>0</v>
      </c>
      <c r="AB38" s="10">
        <v>0</v>
      </c>
      <c r="AC38" s="10">
        <v>0</v>
      </c>
      <c r="AD38" s="10">
        <v>0</v>
      </c>
      <c r="AE38" s="10">
        <v>0</v>
      </c>
      <c r="AF38" s="10">
        <v>0</v>
      </c>
      <c r="AG38" s="10">
        <v>0</v>
      </c>
      <c r="AH38" s="10">
        <v>0</v>
      </c>
      <c r="AI38" s="10">
        <v>0</v>
      </c>
      <c r="AJ38" s="10">
        <v>0</v>
      </c>
      <c r="AK38" s="10">
        <v>0</v>
      </c>
      <c r="AL38" s="10">
        <v>0</v>
      </c>
      <c r="AM38" s="10">
        <v>0</v>
      </c>
      <c r="AN38" s="10">
        <v>0</v>
      </c>
      <c r="AO38" s="10">
        <v>0</v>
      </c>
      <c r="AP38" s="10">
        <v>0</v>
      </c>
      <c r="AQ38" s="10">
        <v>0</v>
      </c>
      <c r="AR38" s="10">
        <v>0</v>
      </c>
      <c r="AS38" s="10">
        <v>0</v>
      </c>
      <c r="AT38" s="10">
        <v>0</v>
      </c>
      <c r="AU38" s="10">
        <v>0</v>
      </c>
      <c r="AV38" s="10">
        <v>0</v>
      </c>
      <c r="AW38" s="1">
        <v>71.83</v>
      </c>
      <c r="AX38" s="1">
        <v>65.150000000000006</v>
      </c>
      <c r="AY38" s="1">
        <v>60.14</v>
      </c>
      <c r="AZ38" s="1">
        <v>56.62</v>
      </c>
      <c r="BA38" s="1">
        <v>0</v>
      </c>
      <c r="BB38" s="6">
        <v>111.54</v>
      </c>
      <c r="BC38" s="6">
        <v>102.65</v>
      </c>
      <c r="BD38" s="6">
        <v>95.51</v>
      </c>
      <c r="BE38" s="6">
        <v>89.72</v>
      </c>
      <c r="BF38" s="6">
        <v>85.01</v>
      </c>
      <c r="BG38" s="6">
        <v>81.150000000000006</v>
      </c>
      <c r="BH38" s="6">
        <v>78.040000000000006</v>
      </c>
      <c r="BI38" s="6">
        <v>75.510000000000005</v>
      </c>
      <c r="BJ38" s="6">
        <v>73.48</v>
      </c>
      <c r="BK38" s="6">
        <v>71.91</v>
      </c>
      <c r="BL38" s="1">
        <v>0</v>
      </c>
      <c r="BM38" s="1">
        <v>0</v>
      </c>
      <c r="BN38" s="1">
        <v>0</v>
      </c>
      <c r="BO38" s="1">
        <v>0</v>
      </c>
      <c r="BP38" s="1">
        <v>0</v>
      </c>
      <c r="BQ38" s="1">
        <v>124.33</v>
      </c>
      <c r="BR38" s="1">
        <v>96.41</v>
      </c>
      <c r="BS38" s="1">
        <v>86.81</v>
      </c>
      <c r="BT38" s="1">
        <v>0</v>
      </c>
      <c r="BU38" s="1">
        <v>0</v>
      </c>
      <c r="BV38" s="10">
        <v>0</v>
      </c>
      <c r="BW38" s="1">
        <v>115.96</v>
      </c>
      <c r="BX38" s="1">
        <v>86.23</v>
      </c>
      <c r="BY38" s="1">
        <v>75.03</v>
      </c>
      <c r="BZ38" s="1">
        <v>0</v>
      </c>
      <c r="CA38" s="6">
        <v>117.23</v>
      </c>
      <c r="CB38" s="6">
        <v>109.66</v>
      </c>
      <c r="CC38" s="6">
        <v>103.7</v>
      </c>
      <c r="CD38" s="6">
        <v>99.03</v>
      </c>
      <c r="CE38" s="6">
        <v>95.32</v>
      </c>
      <c r="CF38" s="6">
        <v>92.43</v>
      </c>
      <c r="CG38" s="6">
        <v>90.58</v>
      </c>
      <c r="CH38" s="1">
        <v>89.39</v>
      </c>
      <c r="CI38" s="1">
        <v>88.75</v>
      </c>
      <c r="CJ38" s="1">
        <v>88.62</v>
      </c>
      <c r="CK38" s="1">
        <v>88.95</v>
      </c>
      <c r="CL38" s="1">
        <v>89.37</v>
      </c>
      <c r="CM38" s="1">
        <v>90.15</v>
      </c>
      <c r="CN38" s="1">
        <v>91.26</v>
      </c>
      <c r="CO38" s="1">
        <v>92.67</v>
      </c>
      <c r="CP38" s="1">
        <v>102.04</v>
      </c>
      <c r="CQ38" s="5">
        <v>92.62</v>
      </c>
      <c r="CR38" s="5">
        <v>84.84</v>
      </c>
      <c r="CS38" s="1">
        <v>78.31</v>
      </c>
      <c r="CT38" s="1">
        <v>72.78</v>
      </c>
      <c r="CU38" s="1">
        <v>68.040000000000006</v>
      </c>
      <c r="CV38" s="1">
        <v>63.94</v>
      </c>
      <c r="CW38" s="1">
        <v>60.37</v>
      </c>
      <c r="CX38" s="1">
        <v>57.23</v>
      </c>
      <c r="CY38" s="1">
        <v>54.47</v>
      </c>
      <c r="CZ38" s="1">
        <v>52.01</v>
      </c>
      <c r="DA38" s="1">
        <v>49.53</v>
      </c>
      <c r="DB38" s="1">
        <v>47.28</v>
      </c>
      <c r="DC38" s="1">
        <v>45.23</v>
      </c>
      <c r="DD38" s="1">
        <v>43.37</v>
      </c>
      <c r="DE38">
        <v>116.51</v>
      </c>
      <c r="DF38">
        <v>115.04</v>
      </c>
      <c r="DG38">
        <v>114.13</v>
      </c>
      <c r="DH38">
        <v>113.69</v>
      </c>
      <c r="DI38">
        <v>113.64</v>
      </c>
      <c r="DJ38" s="1">
        <v>113.93</v>
      </c>
      <c r="DK38" s="1">
        <v>114.22</v>
      </c>
      <c r="DL38" s="1">
        <v>114.76</v>
      </c>
      <c r="DM38" s="1">
        <v>115.52</v>
      </c>
      <c r="DN38" s="1">
        <v>116.46</v>
      </c>
      <c r="DO38" s="1">
        <v>0</v>
      </c>
      <c r="DP38" s="1">
        <v>10.15</v>
      </c>
      <c r="DQ38" s="1">
        <v>13.83</v>
      </c>
      <c r="DR38" s="1">
        <v>18.079999999999998</v>
      </c>
      <c r="DS38" s="1">
        <v>24.45</v>
      </c>
      <c r="DT38" s="1">
        <v>26.95</v>
      </c>
      <c r="DU38" s="1">
        <v>6.33</v>
      </c>
      <c r="DV38" s="1">
        <v>7.1</v>
      </c>
      <c r="DW38" s="1">
        <v>7.86</v>
      </c>
      <c r="DX38" s="1">
        <v>8.6300000000000008</v>
      </c>
      <c r="DY38" s="1">
        <v>9.39</v>
      </c>
      <c r="DZ38" s="1">
        <v>10.16</v>
      </c>
      <c r="EA38" s="1">
        <v>11.1</v>
      </c>
      <c r="EB38" s="1">
        <v>12.09</v>
      </c>
      <c r="EC38" s="1">
        <v>13.13</v>
      </c>
      <c r="ED38" s="1">
        <v>14.23</v>
      </c>
      <c r="EE38" s="10">
        <v>0</v>
      </c>
      <c r="EF38" s="10">
        <v>0</v>
      </c>
      <c r="EG38" s="10">
        <v>0</v>
      </c>
      <c r="EH38" s="10">
        <v>0</v>
      </c>
      <c r="EI38" s="1">
        <v>0</v>
      </c>
      <c r="EJ38" s="10">
        <v>0</v>
      </c>
      <c r="EK38" s="10">
        <v>0</v>
      </c>
      <c r="EL38" s="10">
        <v>0</v>
      </c>
      <c r="EM38" s="10">
        <v>0</v>
      </c>
      <c r="EN38" s="10">
        <v>0</v>
      </c>
      <c r="EO38" s="10">
        <v>0</v>
      </c>
      <c r="EP38" s="10">
        <v>0</v>
      </c>
      <c r="EQ38" s="10">
        <v>0</v>
      </c>
      <c r="ER38" s="10">
        <v>0</v>
      </c>
      <c r="ES38" s="10">
        <v>0</v>
      </c>
      <c r="ET38" s="10">
        <v>0</v>
      </c>
      <c r="EU38" s="10">
        <v>0</v>
      </c>
      <c r="EV38" s="10">
        <v>0</v>
      </c>
      <c r="EW38" s="10">
        <v>0</v>
      </c>
      <c r="EX38" s="10">
        <v>0</v>
      </c>
      <c r="EY38" s="10">
        <v>0</v>
      </c>
      <c r="EZ38" s="10">
        <v>0</v>
      </c>
      <c r="FA38" s="10">
        <v>0</v>
      </c>
      <c r="FB38" s="10">
        <v>0</v>
      </c>
      <c r="FC38" s="10">
        <v>0</v>
      </c>
      <c r="FD38" s="10">
        <v>0</v>
      </c>
      <c r="FE38" s="1">
        <v>12.06</v>
      </c>
      <c r="FF38" s="1">
        <v>12.76</v>
      </c>
      <c r="FG38" s="1">
        <v>13.46</v>
      </c>
      <c r="FH38" s="1">
        <v>14.15</v>
      </c>
      <c r="FI38" s="1">
        <v>14.85</v>
      </c>
      <c r="FJ38" s="1">
        <v>15.55</v>
      </c>
      <c r="FK38" s="1">
        <v>16.3</v>
      </c>
      <c r="FL38" s="1">
        <v>17.05</v>
      </c>
      <c r="FM38" s="1">
        <v>17.8</v>
      </c>
      <c r="FN38" s="1">
        <v>18.55</v>
      </c>
      <c r="FO38" s="1">
        <v>19.3</v>
      </c>
      <c r="FP38" s="1">
        <v>20.05</v>
      </c>
      <c r="FQ38" s="1">
        <v>20.8</v>
      </c>
      <c r="FR38" s="1">
        <v>21.55</v>
      </c>
      <c r="FS38" s="1">
        <v>22.3</v>
      </c>
      <c r="FT38" s="1">
        <v>0</v>
      </c>
      <c r="FU38" s="9">
        <v>3.4380000000000002</v>
      </c>
      <c r="FV38" s="1">
        <v>0</v>
      </c>
      <c r="FW38" s="1">
        <v>0</v>
      </c>
      <c r="FX38" s="1">
        <v>0</v>
      </c>
      <c r="FY38">
        <v>4.3230000000000004</v>
      </c>
      <c r="FZ38" s="1">
        <v>0</v>
      </c>
      <c r="GA38" s="1">
        <v>0</v>
      </c>
      <c r="GB38" s="1">
        <v>0</v>
      </c>
      <c r="GC38" s="10">
        <v>0</v>
      </c>
      <c r="GD38" s="1">
        <v>0</v>
      </c>
      <c r="GE38" s="10">
        <v>0</v>
      </c>
      <c r="GF38" s="10">
        <v>0</v>
      </c>
      <c r="GG38" s="1">
        <v>0</v>
      </c>
      <c r="GH38" s="1">
        <v>0</v>
      </c>
      <c r="GI38" s="10">
        <v>0</v>
      </c>
      <c r="GJ38" s="1">
        <v>0</v>
      </c>
      <c r="GK38" s="1">
        <v>0</v>
      </c>
      <c r="GL38" s="10">
        <v>0</v>
      </c>
      <c r="GM38" s="1">
        <v>0</v>
      </c>
      <c r="GN38" s="1">
        <v>0</v>
      </c>
      <c r="GO38" s="10">
        <v>0</v>
      </c>
      <c r="GP38" s="1">
        <v>0</v>
      </c>
      <c r="GQ38" s="1">
        <v>0</v>
      </c>
      <c r="GR38" s="1">
        <v>0</v>
      </c>
      <c r="GS38" s="1">
        <v>0</v>
      </c>
      <c r="GT38" s="10">
        <v>0</v>
      </c>
      <c r="GU38" s="1">
        <v>0</v>
      </c>
      <c r="GV38" s="1">
        <v>0</v>
      </c>
      <c r="GW38" s="1">
        <v>0</v>
      </c>
      <c r="GX38" s="1">
        <v>0</v>
      </c>
      <c r="GY38" s="10">
        <v>0</v>
      </c>
      <c r="GZ38" s="1">
        <v>6.48</v>
      </c>
      <c r="HA38" s="1">
        <v>7.56</v>
      </c>
      <c r="HB38" s="1">
        <v>8.73</v>
      </c>
      <c r="HC38" s="1">
        <v>10.02</v>
      </c>
      <c r="HD38" s="1">
        <v>11.4</v>
      </c>
      <c r="HE38" s="1">
        <v>12.87</v>
      </c>
      <c r="HF38" s="1">
        <v>14.43</v>
      </c>
      <c r="HG38" s="1">
        <v>16.079999999999998</v>
      </c>
      <c r="HH38" s="1">
        <v>17.809999999999999</v>
      </c>
      <c r="HI38" s="1">
        <v>19.63</v>
      </c>
      <c r="HJ38" s="1">
        <v>21.51</v>
      </c>
      <c r="HK38" s="1">
        <v>23.47</v>
      </c>
      <c r="HL38" s="1">
        <v>25.5</v>
      </c>
      <c r="HM38" s="1">
        <v>27.6</v>
      </c>
      <c r="HN38" s="1">
        <v>29.75</v>
      </c>
      <c r="HO38" s="1">
        <v>0</v>
      </c>
      <c r="HP38" s="1">
        <v>71.69</v>
      </c>
      <c r="HQ38">
        <v>53.63</v>
      </c>
      <c r="HR38" s="1">
        <v>45.34</v>
      </c>
      <c r="HS38" s="1">
        <v>0</v>
      </c>
      <c r="HT38" s="1">
        <v>0</v>
      </c>
      <c r="HU38" s="1">
        <v>41.69</v>
      </c>
      <c r="HV38" s="1">
        <v>46.79</v>
      </c>
      <c r="HW38" s="1">
        <v>108.64</v>
      </c>
      <c r="HX38" s="1">
        <v>76.61</v>
      </c>
      <c r="HY38" s="1">
        <v>63.32</v>
      </c>
      <c r="HZ38" s="1">
        <v>0</v>
      </c>
      <c r="IA38" s="1">
        <v>0</v>
      </c>
      <c r="IB38" s="1">
        <v>0</v>
      </c>
      <c r="IC38" s="1">
        <v>703.1</v>
      </c>
      <c r="ID38" s="1">
        <v>600.70000000000005</v>
      </c>
      <c r="IE38" s="1">
        <v>531.5</v>
      </c>
      <c r="IF38" s="1">
        <v>0</v>
      </c>
      <c r="IG38" s="1">
        <v>0</v>
      </c>
      <c r="IH38" s="1">
        <v>0</v>
      </c>
      <c r="II38" s="1">
        <v>0</v>
      </c>
      <c r="IJ38" s="1">
        <v>74.33</v>
      </c>
      <c r="IK38" s="1">
        <v>67.75</v>
      </c>
      <c r="IL38" s="1">
        <v>0</v>
      </c>
      <c r="IM38" s="1">
        <v>0</v>
      </c>
      <c r="IN38" s="1">
        <v>0</v>
      </c>
      <c r="IO38" s="1">
        <v>0</v>
      </c>
      <c r="IP38" s="1">
        <v>0</v>
      </c>
      <c r="IQ38" s="1">
        <v>0</v>
      </c>
      <c r="IR38" s="1">
        <v>0</v>
      </c>
      <c r="IS38" s="1">
        <v>0</v>
      </c>
      <c r="IT38" s="1">
        <v>0</v>
      </c>
      <c r="IU38" s="1">
        <v>0</v>
      </c>
      <c r="IV38" s="1">
        <v>0</v>
      </c>
      <c r="IW38" s="1">
        <v>0</v>
      </c>
      <c r="IX38" s="1">
        <v>0</v>
      </c>
      <c r="IY38" s="1">
        <v>0</v>
      </c>
      <c r="IZ38" s="1">
        <v>0</v>
      </c>
      <c r="JA38" s="1">
        <v>0</v>
      </c>
      <c r="JB38" s="1">
        <v>82.92</v>
      </c>
      <c r="JC38" s="1">
        <v>65.819999999999993</v>
      </c>
      <c r="JD38" s="1">
        <v>10.81</v>
      </c>
      <c r="JE38" s="1">
        <v>11.29</v>
      </c>
      <c r="JF38" s="1">
        <v>11.8</v>
      </c>
      <c r="JG38" s="1">
        <v>12.35</v>
      </c>
      <c r="JH38" s="1">
        <v>12.94</v>
      </c>
      <c r="JI38" s="1">
        <v>13.56</v>
      </c>
      <c r="JJ38" s="1">
        <v>49.43</v>
      </c>
      <c r="JK38" s="1">
        <v>60.57</v>
      </c>
      <c r="JL38" s="1">
        <v>72.260000000000005</v>
      </c>
      <c r="JM38" s="1">
        <v>84.53</v>
      </c>
      <c r="JN38" s="1">
        <v>97.41</v>
      </c>
      <c r="JO38" s="1">
        <v>110.92</v>
      </c>
      <c r="JP38" s="1">
        <v>97.4</v>
      </c>
      <c r="JQ38" s="1">
        <v>81.56</v>
      </c>
      <c r="JR38" s="1">
        <v>71.78</v>
      </c>
      <c r="JS38" s="1">
        <v>65.11</v>
      </c>
      <c r="JT38" s="1">
        <v>59.98</v>
      </c>
      <c r="JU38" s="1">
        <v>56.37</v>
      </c>
      <c r="JV38" s="1">
        <v>0</v>
      </c>
      <c r="JW38" s="1">
        <v>96.65</v>
      </c>
      <c r="JX38" s="1">
        <v>80.81</v>
      </c>
      <c r="JY38" s="1">
        <v>71.03</v>
      </c>
      <c r="JZ38" s="1">
        <v>64.36</v>
      </c>
      <c r="KA38" s="1">
        <v>59.23</v>
      </c>
      <c r="KB38" s="1">
        <v>55.62</v>
      </c>
      <c r="KC38" s="1">
        <v>0</v>
      </c>
    </row>
    <row r="39" spans="1:289" x14ac:dyDescent="0.15">
      <c r="A39" s="8">
        <v>47</v>
      </c>
      <c r="B39" s="1">
        <v>38.869999999999997</v>
      </c>
      <c r="C39" s="1">
        <v>102.88</v>
      </c>
      <c r="D39" s="1">
        <v>93.63</v>
      </c>
      <c r="E39" s="1">
        <v>86.03</v>
      </c>
      <c r="F39" s="1">
        <v>79.7</v>
      </c>
      <c r="G39" s="1">
        <v>74.37</v>
      </c>
      <c r="H39" s="1">
        <v>69.84</v>
      </c>
      <c r="I39" s="1">
        <v>65.97</v>
      </c>
      <c r="J39" s="1">
        <v>62.63</v>
      </c>
      <c r="K39" s="1">
        <v>59.75</v>
      </c>
      <c r="L39" s="1">
        <v>57.25</v>
      </c>
      <c r="M39" s="1">
        <v>55.07</v>
      </c>
      <c r="N39" s="1">
        <v>52.9</v>
      </c>
      <c r="O39" s="1">
        <v>50.98</v>
      </c>
      <c r="P39" s="1">
        <v>49.28</v>
      </c>
      <c r="Q39" s="1">
        <v>47.77</v>
      </c>
      <c r="R39" s="1">
        <v>46.44</v>
      </c>
      <c r="S39" s="1">
        <v>45.27</v>
      </c>
      <c r="T39" s="1">
        <v>44.23</v>
      </c>
      <c r="U39" s="1">
        <v>43.32</v>
      </c>
      <c r="V39" s="10">
        <v>0</v>
      </c>
      <c r="W39" s="10">
        <v>0</v>
      </c>
      <c r="X39" s="1">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0</v>
      </c>
      <c r="AP39" s="10">
        <v>0</v>
      </c>
      <c r="AQ39" s="10">
        <v>0</v>
      </c>
      <c r="AR39" s="10">
        <v>0</v>
      </c>
      <c r="AS39" s="10">
        <v>0</v>
      </c>
      <c r="AT39" s="10">
        <v>0</v>
      </c>
      <c r="AU39" s="10">
        <v>0</v>
      </c>
      <c r="AV39" s="10">
        <v>0</v>
      </c>
      <c r="AW39" s="1">
        <v>72.959999999999994</v>
      </c>
      <c r="AX39" s="1">
        <v>66.400000000000006</v>
      </c>
      <c r="AY39" s="1">
        <v>61.48</v>
      </c>
      <c r="AZ39" s="1">
        <v>58.05</v>
      </c>
      <c r="BA39" s="1">
        <v>0</v>
      </c>
      <c r="BB39" s="6">
        <v>112.83</v>
      </c>
      <c r="BC39" s="6">
        <v>104.08</v>
      </c>
      <c r="BD39" s="6">
        <v>97.07</v>
      </c>
      <c r="BE39" s="6">
        <v>91.41</v>
      </c>
      <c r="BF39" s="6">
        <v>86.83</v>
      </c>
      <c r="BG39" s="6">
        <v>83.08</v>
      </c>
      <c r="BH39" s="6">
        <v>80.13</v>
      </c>
      <c r="BI39" s="6">
        <v>77.75</v>
      </c>
      <c r="BJ39" s="6">
        <v>75.87</v>
      </c>
      <c r="BK39" s="1">
        <v>0</v>
      </c>
      <c r="BL39" s="1">
        <v>0</v>
      </c>
      <c r="BM39" s="1">
        <v>0</v>
      </c>
      <c r="BN39" s="1">
        <v>0</v>
      </c>
      <c r="BO39" s="1">
        <v>0</v>
      </c>
      <c r="BP39" s="1">
        <v>0</v>
      </c>
      <c r="BQ39" s="1">
        <v>127.25</v>
      </c>
      <c r="BR39" s="1">
        <v>99.9</v>
      </c>
      <c r="BS39" s="1">
        <v>90.67</v>
      </c>
      <c r="BT39" s="1">
        <v>0</v>
      </c>
      <c r="BU39" s="1">
        <v>0</v>
      </c>
      <c r="BV39" s="1">
        <v>0</v>
      </c>
      <c r="BW39" s="1">
        <v>117.73</v>
      </c>
      <c r="BX39" s="1">
        <v>88.46</v>
      </c>
      <c r="BY39" s="1">
        <v>77.63</v>
      </c>
      <c r="BZ39" s="1">
        <v>0</v>
      </c>
      <c r="CA39" s="6">
        <v>118.95</v>
      </c>
      <c r="CB39" s="6">
        <v>111.61</v>
      </c>
      <c r="CC39" s="6">
        <v>105.91</v>
      </c>
      <c r="CD39" s="6">
        <v>101.49</v>
      </c>
      <c r="CE39" s="6">
        <v>97.75</v>
      </c>
      <c r="CF39" s="6">
        <v>95.38</v>
      </c>
      <c r="CG39" s="6">
        <v>93.79</v>
      </c>
      <c r="CH39" s="1">
        <v>92.87</v>
      </c>
      <c r="CI39" s="1">
        <v>92.53</v>
      </c>
      <c r="CJ39" s="1">
        <v>92.69</v>
      </c>
      <c r="CK39" s="1">
        <v>93.3</v>
      </c>
      <c r="CL39" s="1">
        <v>94.01</v>
      </c>
      <c r="CM39" s="1">
        <v>95.09</v>
      </c>
      <c r="CN39" s="1">
        <v>96.5</v>
      </c>
      <c r="CO39" s="1">
        <v>0</v>
      </c>
      <c r="CP39" s="1">
        <v>102.41</v>
      </c>
      <c r="CQ39" s="5">
        <v>93.01</v>
      </c>
      <c r="CR39" s="5">
        <v>85.24</v>
      </c>
      <c r="CS39" s="1">
        <v>78.739999999999995</v>
      </c>
      <c r="CT39" s="1">
        <v>73.22</v>
      </c>
      <c r="CU39" s="1">
        <v>68.5</v>
      </c>
      <c r="CV39" s="1">
        <v>64.41</v>
      </c>
      <c r="CW39" s="1">
        <v>60.85</v>
      </c>
      <c r="CX39" s="1">
        <v>57.73</v>
      </c>
      <c r="CY39" s="1">
        <v>54.97</v>
      </c>
      <c r="CZ39" s="1">
        <v>52.53</v>
      </c>
      <c r="DA39" s="1">
        <v>50.05</v>
      </c>
      <c r="DB39" s="1">
        <v>47.81</v>
      </c>
      <c r="DC39" s="1">
        <v>45.78</v>
      </c>
      <c r="DD39" s="1">
        <v>0</v>
      </c>
      <c r="DE39">
        <v>122.38</v>
      </c>
      <c r="DF39">
        <v>121.08</v>
      </c>
      <c r="DG39">
        <v>120.34</v>
      </c>
      <c r="DH39">
        <v>120.07</v>
      </c>
      <c r="DI39">
        <v>120.18</v>
      </c>
      <c r="DJ39" s="1">
        <v>120.62</v>
      </c>
      <c r="DK39" s="1">
        <v>121.07</v>
      </c>
      <c r="DL39" s="1">
        <v>121.76</v>
      </c>
      <c r="DM39" s="1">
        <v>122.66</v>
      </c>
      <c r="DN39" s="1">
        <v>0</v>
      </c>
      <c r="DO39" s="1">
        <v>0</v>
      </c>
      <c r="DP39" s="1">
        <v>11.38</v>
      </c>
      <c r="DQ39" s="1">
        <v>15.5</v>
      </c>
      <c r="DR39" s="1">
        <v>20.13</v>
      </c>
      <c r="DS39" s="1">
        <v>26.88</v>
      </c>
      <c r="DT39" s="1">
        <v>29.38</v>
      </c>
      <c r="DU39" s="1">
        <v>6.89</v>
      </c>
      <c r="DV39" s="1">
        <v>7.75</v>
      </c>
      <c r="DW39" s="1">
        <v>8.61</v>
      </c>
      <c r="DX39" s="1">
        <v>9.48</v>
      </c>
      <c r="DY39" s="1">
        <v>10.220000000000001</v>
      </c>
      <c r="DZ39" s="1">
        <v>11.2</v>
      </c>
      <c r="EA39" s="1">
        <v>12.24</v>
      </c>
      <c r="EB39" s="1">
        <v>13.34</v>
      </c>
      <c r="EC39" s="1">
        <v>14.5</v>
      </c>
      <c r="ED39" s="10">
        <v>0</v>
      </c>
      <c r="EE39" s="10">
        <v>0</v>
      </c>
      <c r="EF39" s="1">
        <v>0</v>
      </c>
      <c r="EG39" s="10">
        <v>0</v>
      </c>
      <c r="EH39" s="1">
        <v>0</v>
      </c>
      <c r="EI39" s="10">
        <v>0</v>
      </c>
      <c r="EJ39" s="10">
        <v>0</v>
      </c>
      <c r="EK39" s="10">
        <v>0</v>
      </c>
      <c r="EL39" s="10">
        <v>0</v>
      </c>
      <c r="EM39" s="10">
        <v>0</v>
      </c>
      <c r="EN39" s="10">
        <v>0</v>
      </c>
      <c r="EO39" s="10">
        <v>0</v>
      </c>
      <c r="EP39" s="10">
        <v>0</v>
      </c>
      <c r="EQ39" s="10">
        <v>0</v>
      </c>
      <c r="ER39" s="10">
        <v>0</v>
      </c>
      <c r="ES39" s="10">
        <v>0</v>
      </c>
      <c r="ET39" s="10">
        <v>0</v>
      </c>
      <c r="EU39" s="10">
        <v>0</v>
      </c>
      <c r="EV39" s="10">
        <v>0</v>
      </c>
      <c r="EW39" s="10">
        <v>0</v>
      </c>
      <c r="EX39" s="10">
        <v>0</v>
      </c>
      <c r="EY39" s="10">
        <v>0</v>
      </c>
      <c r="EZ39" s="10">
        <v>0</v>
      </c>
      <c r="FA39" s="10">
        <v>0</v>
      </c>
      <c r="FB39" s="10">
        <v>0</v>
      </c>
      <c r="FC39" s="10">
        <v>0</v>
      </c>
      <c r="FD39" s="10">
        <v>0</v>
      </c>
      <c r="FE39" s="1">
        <v>13.35</v>
      </c>
      <c r="FF39" s="1">
        <v>14.1</v>
      </c>
      <c r="FG39" s="1">
        <v>14.86</v>
      </c>
      <c r="FH39" s="1">
        <v>15.61</v>
      </c>
      <c r="FI39" s="1">
        <v>16.37</v>
      </c>
      <c r="FJ39" s="1">
        <v>17.12</v>
      </c>
      <c r="FK39" s="1">
        <v>17.91</v>
      </c>
      <c r="FL39" s="1">
        <v>18.7</v>
      </c>
      <c r="FM39" s="1">
        <v>19.48</v>
      </c>
      <c r="FN39" s="1">
        <v>20.27</v>
      </c>
      <c r="FO39" s="1">
        <v>21.06</v>
      </c>
      <c r="FP39" s="1">
        <v>21.84</v>
      </c>
      <c r="FQ39" s="1">
        <v>22.62</v>
      </c>
      <c r="FR39" s="1">
        <v>23.41</v>
      </c>
      <c r="FS39" s="1">
        <v>0</v>
      </c>
      <c r="FT39" s="1">
        <v>0</v>
      </c>
      <c r="FU39" s="9">
        <v>3.802</v>
      </c>
      <c r="FV39" s="1">
        <v>0</v>
      </c>
      <c r="FW39" s="1">
        <v>0</v>
      </c>
      <c r="FX39">
        <v>4.548</v>
      </c>
      <c r="FY39" s="1">
        <v>0</v>
      </c>
      <c r="FZ39" s="1">
        <v>0</v>
      </c>
      <c r="GA39" s="1">
        <v>0</v>
      </c>
      <c r="GB39" s="1">
        <v>0</v>
      </c>
      <c r="GC39" s="10">
        <v>0</v>
      </c>
      <c r="GD39" s="1">
        <v>0</v>
      </c>
      <c r="GE39" s="10">
        <v>0</v>
      </c>
      <c r="GF39" s="10">
        <v>0</v>
      </c>
      <c r="GG39" s="1">
        <v>0</v>
      </c>
      <c r="GH39" s="1">
        <v>0</v>
      </c>
      <c r="GI39" s="1">
        <v>0</v>
      </c>
      <c r="GJ39" s="10">
        <v>0</v>
      </c>
      <c r="GK39" s="1">
        <v>0</v>
      </c>
      <c r="GL39" s="10">
        <v>0</v>
      </c>
      <c r="GM39" s="1">
        <v>0</v>
      </c>
      <c r="GN39" s="1">
        <v>0</v>
      </c>
      <c r="GO39" s="10">
        <v>0</v>
      </c>
      <c r="GP39" s="1">
        <v>0</v>
      </c>
      <c r="GQ39" s="1">
        <v>0</v>
      </c>
      <c r="GR39" s="1">
        <v>0</v>
      </c>
      <c r="GS39" s="1">
        <v>0</v>
      </c>
      <c r="GT39" s="10">
        <v>0</v>
      </c>
      <c r="GU39" s="1">
        <v>0</v>
      </c>
      <c r="GV39" s="1">
        <v>0</v>
      </c>
      <c r="GW39" s="1">
        <v>0</v>
      </c>
      <c r="GX39" s="1">
        <v>0</v>
      </c>
      <c r="GY39" s="10">
        <v>0</v>
      </c>
      <c r="GZ39" s="1">
        <v>7.26</v>
      </c>
      <c r="HA39" s="1">
        <v>8.4499999999999993</v>
      </c>
      <c r="HB39" s="1">
        <v>9.74</v>
      </c>
      <c r="HC39" s="1">
        <v>11.13</v>
      </c>
      <c r="HD39" s="1">
        <v>12.62</v>
      </c>
      <c r="HE39" s="1">
        <v>14.2</v>
      </c>
      <c r="HF39" s="1">
        <v>15.88</v>
      </c>
      <c r="HG39" s="1">
        <v>17.63</v>
      </c>
      <c r="HH39" s="1">
        <v>19.47</v>
      </c>
      <c r="HI39" s="1">
        <v>21.39</v>
      </c>
      <c r="HJ39" s="1">
        <v>23.39</v>
      </c>
      <c r="HK39" s="1">
        <v>25.46</v>
      </c>
      <c r="HL39" s="1">
        <v>27.59</v>
      </c>
      <c r="HM39" s="1">
        <v>29.79</v>
      </c>
      <c r="HN39" s="1">
        <v>0</v>
      </c>
      <c r="HO39" s="10">
        <v>0</v>
      </c>
      <c r="HP39" s="1">
        <v>73.489999999999995</v>
      </c>
      <c r="HQ39">
        <v>55.14</v>
      </c>
      <c r="HR39" s="1">
        <v>46.76</v>
      </c>
      <c r="HS39" s="1">
        <v>0</v>
      </c>
      <c r="HT39" s="1">
        <v>0</v>
      </c>
      <c r="HU39" s="1">
        <v>43.86</v>
      </c>
      <c r="HV39" s="1">
        <v>49.28</v>
      </c>
      <c r="HW39" s="1">
        <v>109.63</v>
      </c>
      <c r="HX39" s="1">
        <v>77.959999999999994</v>
      </c>
      <c r="HY39" s="1">
        <v>65.010000000000005</v>
      </c>
      <c r="HZ39" s="1">
        <v>0</v>
      </c>
      <c r="IA39" s="1">
        <v>0</v>
      </c>
      <c r="IB39" s="1">
        <v>0</v>
      </c>
      <c r="IC39" s="1">
        <v>703.1</v>
      </c>
      <c r="ID39" s="1">
        <v>600.70000000000005</v>
      </c>
      <c r="IE39" s="1">
        <v>531.5</v>
      </c>
      <c r="IF39" s="1">
        <v>0</v>
      </c>
      <c r="IG39" s="1">
        <v>0</v>
      </c>
      <c r="IH39" s="1">
        <v>0</v>
      </c>
      <c r="II39" s="1">
        <v>0</v>
      </c>
      <c r="IJ39" s="1">
        <v>75.459999999999994</v>
      </c>
      <c r="IK39" s="1">
        <v>68.900000000000006</v>
      </c>
      <c r="IL39" s="1">
        <v>0</v>
      </c>
      <c r="IM39" s="1">
        <v>0</v>
      </c>
      <c r="IN39" s="1">
        <v>0</v>
      </c>
      <c r="IO39" s="1">
        <v>0</v>
      </c>
      <c r="IP39" s="1">
        <v>0</v>
      </c>
      <c r="IQ39" s="1">
        <v>0</v>
      </c>
      <c r="IR39" s="1">
        <v>0</v>
      </c>
      <c r="IS39" s="1">
        <v>0</v>
      </c>
      <c r="IT39" s="1">
        <v>0</v>
      </c>
      <c r="IU39" s="1">
        <v>0</v>
      </c>
      <c r="IV39" s="1">
        <v>0</v>
      </c>
      <c r="IW39" s="1">
        <v>0</v>
      </c>
      <c r="IX39" s="1">
        <v>0</v>
      </c>
      <c r="IY39" s="1">
        <v>0</v>
      </c>
      <c r="IZ39" s="1">
        <v>0</v>
      </c>
      <c r="JA39" s="1">
        <v>0</v>
      </c>
      <c r="JB39" s="1">
        <v>83.64</v>
      </c>
      <c r="JC39" s="1">
        <v>66.739999999999995</v>
      </c>
      <c r="JD39" s="1">
        <v>11.75</v>
      </c>
      <c r="JE39" s="1">
        <v>12.3</v>
      </c>
      <c r="JF39" s="1">
        <v>12.88</v>
      </c>
      <c r="JG39" s="1">
        <v>13.5</v>
      </c>
      <c r="JH39" s="1">
        <v>14.16</v>
      </c>
      <c r="JI39" s="1">
        <v>14.85</v>
      </c>
      <c r="JJ39" s="1">
        <v>53.65</v>
      </c>
      <c r="JK39" s="1">
        <v>65.86</v>
      </c>
      <c r="JL39" s="1">
        <v>78.69</v>
      </c>
      <c r="JM39" s="1">
        <v>92.16</v>
      </c>
      <c r="JN39" s="1">
        <v>106.27</v>
      </c>
      <c r="JO39" s="1">
        <v>121.01</v>
      </c>
      <c r="JP39" s="1">
        <v>98.24</v>
      </c>
      <c r="JQ39" s="1">
        <v>82.52</v>
      </c>
      <c r="JR39" s="1">
        <v>72.849999999999994</v>
      </c>
      <c r="JS39" s="1">
        <v>66.28</v>
      </c>
      <c r="JT39" s="1">
        <v>61.25</v>
      </c>
      <c r="JU39" s="1">
        <v>57.73</v>
      </c>
      <c r="JV39" s="1">
        <v>0</v>
      </c>
      <c r="JW39" s="1">
        <v>97.49</v>
      </c>
      <c r="JX39" s="1">
        <v>81.77</v>
      </c>
      <c r="JY39" s="1">
        <v>72.099999999999994</v>
      </c>
      <c r="JZ39" s="1">
        <v>65.53</v>
      </c>
      <c r="KA39" s="1">
        <v>60.5</v>
      </c>
      <c r="KB39" s="1">
        <v>56.98</v>
      </c>
      <c r="KC39" s="1">
        <v>0</v>
      </c>
    </row>
    <row r="40" spans="1:289" x14ac:dyDescent="0.15">
      <c r="A40" s="8">
        <v>48</v>
      </c>
      <c r="B40" s="1">
        <v>40.58</v>
      </c>
      <c r="C40" s="1">
        <v>103.44</v>
      </c>
      <c r="D40" s="1">
        <v>94.22</v>
      </c>
      <c r="E40" s="1">
        <v>86.66</v>
      </c>
      <c r="F40" s="1">
        <v>80.37</v>
      </c>
      <c r="G40" s="1">
        <v>75.069999999999993</v>
      </c>
      <c r="H40" s="1">
        <v>70.58</v>
      </c>
      <c r="I40" s="1">
        <v>66.75</v>
      </c>
      <c r="J40" s="1">
        <v>63.45</v>
      </c>
      <c r="K40" s="1">
        <v>60.6</v>
      </c>
      <c r="L40" s="1">
        <v>58.14</v>
      </c>
      <c r="M40" s="1">
        <v>56</v>
      </c>
      <c r="N40" s="1">
        <v>53.86</v>
      </c>
      <c r="O40" s="1">
        <v>51.98</v>
      </c>
      <c r="P40" s="1">
        <v>50.32</v>
      </c>
      <c r="Q40" s="1">
        <v>48.85</v>
      </c>
      <c r="R40" s="1">
        <v>47.56</v>
      </c>
      <c r="S40" s="1">
        <v>46.42</v>
      </c>
      <c r="T40" s="1">
        <v>45.43</v>
      </c>
      <c r="U40" s="10">
        <v>0</v>
      </c>
      <c r="V40" s="10">
        <v>0</v>
      </c>
      <c r="W40" s="1">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
        <v>74.2</v>
      </c>
      <c r="AX40" s="1">
        <v>67.739999999999995</v>
      </c>
      <c r="AY40" s="1">
        <v>62.92</v>
      </c>
      <c r="AZ40" s="1">
        <v>59.57</v>
      </c>
      <c r="BA40" s="1">
        <v>0</v>
      </c>
      <c r="BB40" s="6">
        <v>114.13</v>
      </c>
      <c r="BC40" s="6">
        <v>105.5</v>
      </c>
      <c r="BD40" s="6">
        <v>98.62</v>
      </c>
      <c r="BE40" s="6">
        <v>93.09</v>
      </c>
      <c r="BF40" s="6">
        <v>88.65</v>
      </c>
      <c r="BG40" s="6">
        <v>85.02</v>
      </c>
      <c r="BH40" s="6">
        <v>82.23</v>
      </c>
      <c r="BI40" s="6">
        <v>79.98</v>
      </c>
      <c r="BJ40" s="1">
        <v>0</v>
      </c>
      <c r="BK40" s="1">
        <v>0</v>
      </c>
      <c r="BL40" s="1">
        <v>0</v>
      </c>
      <c r="BM40" s="1">
        <v>0</v>
      </c>
      <c r="BN40" s="1">
        <v>0</v>
      </c>
      <c r="BO40" s="1">
        <v>0</v>
      </c>
      <c r="BP40" s="1">
        <v>0</v>
      </c>
      <c r="BQ40" s="1">
        <v>130.53</v>
      </c>
      <c r="BR40" s="1">
        <v>103.73</v>
      </c>
      <c r="BS40" s="1">
        <v>94.85</v>
      </c>
      <c r="BT40" s="1">
        <v>0</v>
      </c>
      <c r="BU40" s="10">
        <v>0</v>
      </c>
      <c r="BV40" s="10">
        <v>0</v>
      </c>
      <c r="BW40" s="1">
        <v>119.73</v>
      </c>
      <c r="BX40" s="1">
        <v>90.89</v>
      </c>
      <c r="BY40" s="1">
        <v>80.45</v>
      </c>
      <c r="BZ40" s="1">
        <v>0</v>
      </c>
      <c r="CA40" s="6">
        <v>120.91</v>
      </c>
      <c r="CB40" s="6">
        <v>113.85</v>
      </c>
      <c r="CC40" s="6">
        <v>108.43</v>
      </c>
      <c r="CD40" s="6">
        <v>103.79</v>
      </c>
      <c r="CE40" s="6">
        <v>100.76</v>
      </c>
      <c r="CF40" s="6">
        <v>98.69</v>
      </c>
      <c r="CG40" s="6">
        <v>97.38</v>
      </c>
      <c r="CH40" s="1">
        <v>96.76</v>
      </c>
      <c r="CI40" s="1">
        <v>96.72</v>
      </c>
      <c r="CJ40" s="1">
        <v>97.19</v>
      </c>
      <c r="CK40" s="1">
        <v>98.11</v>
      </c>
      <c r="CL40" s="1">
        <v>99.13</v>
      </c>
      <c r="CM40" s="1">
        <v>100.53</v>
      </c>
      <c r="CN40" s="1">
        <v>0</v>
      </c>
      <c r="CO40" s="10">
        <v>0</v>
      </c>
      <c r="CP40" s="1">
        <v>102.84</v>
      </c>
      <c r="CQ40" s="5">
        <v>93.45</v>
      </c>
      <c r="CR40" s="5">
        <v>85.71</v>
      </c>
      <c r="CS40" s="1">
        <v>79.22</v>
      </c>
      <c r="CT40" s="1">
        <v>73.72</v>
      </c>
      <c r="CU40" s="1">
        <v>69.010000000000005</v>
      </c>
      <c r="CV40" s="1">
        <v>64.930000000000007</v>
      </c>
      <c r="CW40" s="1">
        <v>61.39</v>
      </c>
      <c r="CX40" s="1">
        <v>58.28</v>
      </c>
      <c r="CY40" s="1">
        <v>55.54</v>
      </c>
      <c r="CZ40" s="1">
        <v>53.1</v>
      </c>
      <c r="DA40" s="1">
        <v>50.64</v>
      </c>
      <c r="DB40" s="1">
        <v>48.4</v>
      </c>
      <c r="DC40" s="1">
        <v>0</v>
      </c>
      <c r="DD40" s="1">
        <v>0</v>
      </c>
      <c r="DE40">
        <v>128.78</v>
      </c>
      <c r="DF40">
        <v>127.66</v>
      </c>
      <c r="DG40">
        <v>127.09</v>
      </c>
      <c r="DH40">
        <v>126.98</v>
      </c>
      <c r="DI40">
        <v>127.26</v>
      </c>
      <c r="DJ40" s="1">
        <v>127.87</v>
      </c>
      <c r="DK40" s="1">
        <v>128.47</v>
      </c>
      <c r="DL40" s="1">
        <v>129.32</v>
      </c>
      <c r="DM40" s="1">
        <v>0</v>
      </c>
      <c r="DN40" s="1">
        <v>0</v>
      </c>
      <c r="DO40" s="10">
        <v>0</v>
      </c>
      <c r="DP40" s="1">
        <v>12.8</v>
      </c>
      <c r="DQ40" s="1">
        <v>17.38</v>
      </c>
      <c r="DR40" s="1">
        <v>22.4</v>
      </c>
      <c r="DS40" s="1">
        <v>29.38</v>
      </c>
      <c r="DT40" s="10">
        <v>0</v>
      </c>
      <c r="DU40" s="1">
        <v>7.53</v>
      </c>
      <c r="DV40" s="1">
        <v>8.5</v>
      </c>
      <c r="DW40" s="1">
        <v>9.4700000000000006</v>
      </c>
      <c r="DX40" s="1">
        <v>10.24</v>
      </c>
      <c r="DY40" s="1">
        <v>11.27</v>
      </c>
      <c r="DZ40" s="1">
        <v>12.37</v>
      </c>
      <c r="EA40" s="1">
        <v>13.52</v>
      </c>
      <c r="EB40" s="1">
        <v>14.74</v>
      </c>
      <c r="EC40" s="10">
        <v>0</v>
      </c>
      <c r="ED40" s="10">
        <v>0</v>
      </c>
      <c r="EE40" s="1">
        <v>0</v>
      </c>
      <c r="EF40" s="10">
        <v>0</v>
      </c>
      <c r="EG40" s="1">
        <v>0</v>
      </c>
      <c r="EH40" s="10">
        <v>0</v>
      </c>
      <c r="EI40" s="10">
        <v>0</v>
      </c>
      <c r="EJ40" s="10">
        <v>0</v>
      </c>
      <c r="EK40" s="1">
        <v>0</v>
      </c>
      <c r="EL40" s="1">
        <v>0</v>
      </c>
      <c r="EM40" s="1">
        <v>0</v>
      </c>
      <c r="EN40" s="1">
        <v>0</v>
      </c>
      <c r="EO40" s="1">
        <v>0</v>
      </c>
      <c r="EP40" s="1">
        <v>0</v>
      </c>
      <c r="EQ40" s="1">
        <v>0</v>
      </c>
      <c r="ER40" s="1">
        <v>0</v>
      </c>
      <c r="ES40" s="1">
        <v>0</v>
      </c>
      <c r="ET40" s="1">
        <v>0</v>
      </c>
      <c r="EU40" s="1">
        <v>0</v>
      </c>
      <c r="EV40" s="1">
        <v>0</v>
      </c>
      <c r="EW40" s="1">
        <v>0</v>
      </c>
      <c r="EX40" s="1">
        <v>0</v>
      </c>
      <c r="EY40" s="1">
        <v>0</v>
      </c>
      <c r="EZ40" s="1">
        <v>0</v>
      </c>
      <c r="FA40" s="1">
        <v>0</v>
      </c>
      <c r="FB40" s="1">
        <v>0</v>
      </c>
      <c r="FC40" s="1">
        <v>0</v>
      </c>
      <c r="FD40" s="1">
        <v>0</v>
      </c>
      <c r="FE40" s="1">
        <v>14.79</v>
      </c>
      <c r="FF40" s="1">
        <v>15.59</v>
      </c>
      <c r="FG40" s="1">
        <v>16.399999999999999</v>
      </c>
      <c r="FH40" s="1">
        <v>17.2</v>
      </c>
      <c r="FI40" s="1">
        <v>18.010000000000002</v>
      </c>
      <c r="FJ40" s="1">
        <v>18.809999999999999</v>
      </c>
      <c r="FK40" s="1">
        <v>19.64</v>
      </c>
      <c r="FL40" s="1">
        <v>20.47</v>
      </c>
      <c r="FM40" s="1">
        <v>21.29</v>
      </c>
      <c r="FN40" s="1">
        <v>22.12</v>
      </c>
      <c r="FO40" s="1">
        <v>22.95</v>
      </c>
      <c r="FP40" s="1">
        <v>23.76</v>
      </c>
      <c r="FQ40" s="1">
        <v>24.58</v>
      </c>
      <c r="FR40" s="1">
        <v>0</v>
      </c>
      <c r="FS40" s="1">
        <v>0</v>
      </c>
      <c r="FT40" s="10">
        <v>0</v>
      </c>
      <c r="FU40" s="9">
        <v>4.2190000000000003</v>
      </c>
      <c r="FV40" s="1">
        <v>0</v>
      </c>
      <c r="FW40">
        <v>4.7880000000000003</v>
      </c>
      <c r="FX40" s="1">
        <v>0</v>
      </c>
      <c r="FY40" s="1">
        <v>0</v>
      </c>
      <c r="FZ40" s="10">
        <v>0</v>
      </c>
      <c r="GA40" s="1">
        <v>0</v>
      </c>
      <c r="GB40" s="1">
        <v>0</v>
      </c>
      <c r="GC40" s="10">
        <v>0</v>
      </c>
      <c r="GD40" s="1">
        <v>0</v>
      </c>
      <c r="GE40" s="10">
        <v>0</v>
      </c>
      <c r="GF40" s="1">
        <v>0</v>
      </c>
      <c r="GG40" s="1">
        <v>0</v>
      </c>
      <c r="GH40" s="1">
        <v>0</v>
      </c>
      <c r="GI40" s="10">
        <v>0</v>
      </c>
      <c r="GJ40" s="10">
        <v>0</v>
      </c>
      <c r="GK40" s="1">
        <v>0</v>
      </c>
      <c r="GL40" s="10">
        <v>0</v>
      </c>
      <c r="GM40" s="1">
        <v>0</v>
      </c>
      <c r="GN40" s="1">
        <v>0</v>
      </c>
      <c r="GO40" s="10">
        <v>0</v>
      </c>
      <c r="GP40" s="1">
        <v>0</v>
      </c>
      <c r="GQ40" s="1">
        <v>0</v>
      </c>
      <c r="GR40" s="1">
        <v>0</v>
      </c>
      <c r="GS40" s="1">
        <v>0</v>
      </c>
      <c r="GT40" s="10">
        <v>0</v>
      </c>
      <c r="GU40" s="1">
        <v>0</v>
      </c>
      <c r="GV40" s="1">
        <v>0</v>
      </c>
      <c r="GW40" s="1">
        <v>0</v>
      </c>
      <c r="GX40" s="1">
        <v>0</v>
      </c>
      <c r="GY40" s="10">
        <v>0</v>
      </c>
      <c r="GZ40" s="1">
        <v>8.1199999999999992</v>
      </c>
      <c r="HA40" s="1">
        <v>9.42</v>
      </c>
      <c r="HB40" s="1">
        <v>10.82</v>
      </c>
      <c r="HC40" s="1">
        <v>12.33</v>
      </c>
      <c r="HD40" s="1">
        <v>13.93</v>
      </c>
      <c r="HE40" s="1">
        <v>15.62</v>
      </c>
      <c r="HF40" s="1">
        <v>17.399999999999999</v>
      </c>
      <c r="HG40" s="1">
        <v>19.27</v>
      </c>
      <c r="HH40" s="1">
        <v>21.22</v>
      </c>
      <c r="HI40" s="1">
        <v>23.26</v>
      </c>
      <c r="HJ40" s="1">
        <v>25.36</v>
      </c>
      <c r="HK40" s="1">
        <v>27.54</v>
      </c>
      <c r="HL40" s="1">
        <v>29.78</v>
      </c>
      <c r="HM40" s="1">
        <v>0</v>
      </c>
      <c r="HN40" s="10">
        <v>0</v>
      </c>
      <c r="HO40" s="1">
        <v>0</v>
      </c>
      <c r="HP40" s="1">
        <v>75.349999999999994</v>
      </c>
      <c r="HQ40">
        <v>56.72</v>
      </c>
      <c r="HR40" s="1">
        <v>48.26</v>
      </c>
      <c r="HS40" s="1">
        <v>0</v>
      </c>
      <c r="HT40" s="1">
        <v>0</v>
      </c>
      <c r="HU40" s="1">
        <v>46.2</v>
      </c>
      <c r="HV40" s="1">
        <v>51.98</v>
      </c>
      <c r="HW40" s="1">
        <v>110.76</v>
      </c>
      <c r="HX40" s="1">
        <v>79.47</v>
      </c>
      <c r="HY40" s="1">
        <v>66.89</v>
      </c>
      <c r="HZ40" s="1">
        <v>0</v>
      </c>
      <c r="IA40" s="1">
        <v>0</v>
      </c>
      <c r="IB40" s="1">
        <v>0</v>
      </c>
      <c r="IC40" s="1">
        <v>710.2</v>
      </c>
      <c r="ID40" s="1">
        <v>616.9</v>
      </c>
      <c r="IE40" s="1">
        <v>558.70000000000005</v>
      </c>
      <c r="IF40" s="1">
        <v>0</v>
      </c>
      <c r="IG40" s="1">
        <v>0</v>
      </c>
      <c r="IH40" s="1">
        <v>0</v>
      </c>
      <c r="II40" s="1">
        <v>0</v>
      </c>
      <c r="IJ40" s="1">
        <v>76.7</v>
      </c>
      <c r="IK40" s="1">
        <v>70.239999999999995</v>
      </c>
      <c r="IL40" s="1">
        <v>0</v>
      </c>
      <c r="IM40" s="1">
        <v>0</v>
      </c>
      <c r="IN40" s="1">
        <v>0</v>
      </c>
      <c r="IO40" s="1">
        <v>0</v>
      </c>
      <c r="IP40" s="1">
        <v>0</v>
      </c>
      <c r="IQ40" s="1">
        <v>0</v>
      </c>
      <c r="IR40" s="1">
        <v>0</v>
      </c>
      <c r="IS40" s="1">
        <v>0</v>
      </c>
      <c r="IT40" s="1">
        <v>0</v>
      </c>
      <c r="IU40" s="1">
        <v>0</v>
      </c>
      <c r="IV40" s="1">
        <v>0</v>
      </c>
      <c r="IW40" s="1">
        <v>0</v>
      </c>
      <c r="IX40" s="1">
        <v>0</v>
      </c>
      <c r="IY40" s="1">
        <v>0</v>
      </c>
      <c r="IZ40" s="1">
        <v>0</v>
      </c>
      <c r="JA40" s="1">
        <v>0</v>
      </c>
      <c r="JB40" s="1">
        <v>84.36</v>
      </c>
      <c r="JC40" s="1">
        <v>67.67</v>
      </c>
      <c r="JD40" s="1">
        <v>12.83</v>
      </c>
      <c r="JE40" s="1">
        <v>13.45</v>
      </c>
      <c r="JF40" s="1">
        <v>14.11</v>
      </c>
      <c r="JG40" s="1">
        <v>14.81</v>
      </c>
      <c r="JH40" s="1">
        <v>15.53</v>
      </c>
      <c r="JI40" s="1">
        <v>16.29</v>
      </c>
      <c r="JJ40" s="1">
        <v>58.49</v>
      </c>
      <c r="JK40" s="1">
        <v>71.900000000000006</v>
      </c>
      <c r="JL40" s="1">
        <v>85.99</v>
      </c>
      <c r="JM40" s="1">
        <v>100.75</v>
      </c>
      <c r="JN40" s="1">
        <v>116.16</v>
      </c>
      <c r="JO40" s="1">
        <v>132.19999999999999</v>
      </c>
      <c r="JP40" s="1">
        <v>99.18</v>
      </c>
      <c r="JQ40" s="1">
        <v>83.58</v>
      </c>
      <c r="JR40" s="1">
        <v>74.010000000000005</v>
      </c>
      <c r="JS40" s="1">
        <v>67.56</v>
      </c>
      <c r="JT40" s="1">
        <v>62.63</v>
      </c>
      <c r="JU40" s="1">
        <v>59.2</v>
      </c>
      <c r="JV40" s="1">
        <v>0</v>
      </c>
      <c r="JW40" s="1">
        <v>98.43</v>
      </c>
      <c r="JX40" s="1">
        <v>82.83</v>
      </c>
      <c r="JY40" s="1">
        <v>73.260000000000005</v>
      </c>
      <c r="JZ40" s="1">
        <v>66.81</v>
      </c>
      <c r="KA40" s="1">
        <v>61.88</v>
      </c>
      <c r="KB40" s="1">
        <v>58.45</v>
      </c>
      <c r="KC40" s="1">
        <v>0</v>
      </c>
    </row>
    <row r="41" spans="1:289" x14ac:dyDescent="0.15">
      <c r="A41" s="8">
        <v>49</v>
      </c>
      <c r="B41" s="1">
        <v>42.39</v>
      </c>
      <c r="C41" s="1">
        <v>104.07</v>
      </c>
      <c r="D41" s="1">
        <v>94.89</v>
      </c>
      <c r="E41" s="1">
        <v>87.37</v>
      </c>
      <c r="F41" s="1">
        <v>81.11</v>
      </c>
      <c r="G41" s="1">
        <v>75.86</v>
      </c>
      <c r="H41" s="1">
        <v>71.41</v>
      </c>
      <c r="I41" s="1">
        <v>67.61</v>
      </c>
      <c r="J41" s="1">
        <v>64.349999999999994</v>
      </c>
      <c r="K41" s="1">
        <v>61.54</v>
      </c>
      <c r="L41" s="1">
        <v>59.12</v>
      </c>
      <c r="M41" s="1">
        <v>57.02</v>
      </c>
      <c r="N41" s="1">
        <v>54.92</v>
      </c>
      <c r="O41" s="1">
        <v>53.08</v>
      </c>
      <c r="P41" s="1">
        <v>51.46</v>
      </c>
      <c r="Q41" s="1">
        <v>50.03</v>
      </c>
      <c r="R41" s="1">
        <v>48.78</v>
      </c>
      <c r="S41" s="1">
        <v>47.68</v>
      </c>
      <c r="T41" s="1">
        <v>47.68</v>
      </c>
      <c r="U41" s="10">
        <v>0</v>
      </c>
      <c r="V41" s="1">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c r="AV41" s="10">
        <v>0</v>
      </c>
      <c r="AW41" s="1">
        <v>75.540000000000006</v>
      </c>
      <c r="AX41" s="1">
        <v>69.19</v>
      </c>
      <c r="AY41" s="1">
        <v>64.47</v>
      </c>
      <c r="AZ41" s="1">
        <v>0</v>
      </c>
      <c r="BA41" s="1">
        <v>0</v>
      </c>
      <c r="BB41" s="6">
        <v>115.42</v>
      </c>
      <c r="BC41" s="6">
        <v>106.93</v>
      </c>
      <c r="BD41" s="6">
        <v>100.18</v>
      </c>
      <c r="BE41" s="6">
        <v>94.78</v>
      </c>
      <c r="BF41" s="6">
        <v>90.47</v>
      </c>
      <c r="BG41" s="6">
        <v>86.95</v>
      </c>
      <c r="BH41" s="6">
        <v>84.32</v>
      </c>
      <c r="BI41" s="1">
        <v>0</v>
      </c>
      <c r="BJ41" s="1">
        <v>0</v>
      </c>
      <c r="BK41" s="1">
        <v>0</v>
      </c>
      <c r="BL41" s="1">
        <v>0</v>
      </c>
      <c r="BM41" s="1">
        <v>0</v>
      </c>
      <c r="BN41" s="1">
        <v>0</v>
      </c>
      <c r="BO41" s="1">
        <v>0</v>
      </c>
      <c r="BP41" s="1">
        <v>0</v>
      </c>
      <c r="BQ41" s="1">
        <v>134.16999999999999</v>
      </c>
      <c r="BR41" s="1">
        <v>107.89</v>
      </c>
      <c r="BS41" s="1">
        <v>99.37</v>
      </c>
      <c r="BT41" s="1">
        <v>0</v>
      </c>
      <c r="BU41" s="10">
        <v>0</v>
      </c>
      <c r="BV41" s="10">
        <v>0</v>
      </c>
      <c r="BW41" s="1">
        <v>121.96</v>
      </c>
      <c r="BX41" s="1">
        <v>93.56</v>
      </c>
      <c r="BY41" s="1">
        <v>83.51</v>
      </c>
      <c r="BZ41" s="1">
        <v>0</v>
      </c>
      <c r="CA41" s="6">
        <v>123.12</v>
      </c>
      <c r="CB41" s="6">
        <v>116.47</v>
      </c>
      <c r="CC41" s="6">
        <v>110.75</v>
      </c>
      <c r="CD41" s="6">
        <v>106.87</v>
      </c>
      <c r="CE41" s="6">
        <v>104.15</v>
      </c>
      <c r="CF41" s="6">
        <v>102.35</v>
      </c>
      <c r="CG41" s="6">
        <v>101.37</v>
      </c>
      <c r="CH41" s="1">
        <v>101.06</v>
      </c>
      <c r="CI41" s="1">
        <v>101.34</v>
      </c>
      <c r="CJ41" s="1">
        <v>102.14</v>
      </c>
      <c r="CK41" s="1">
        <v>103.39</v>
      </c>
      <c r="CL41" s="1">
        <v>104.75</v>
      </c>
      <c r="CM41" s="1">
        <v>0</v>
      </c>
      <c r="CN41" s="10">
        <v>0</v>
      </c>
      <c r="CO41" s="10">
        <v>0</v>
      </c>
      <c r="CP41" s="1">
        <v>103.32</v>
      </c>
      <c r="CQ41" s="5">
        <v>93.95</v>
      </c>
      <c r="CR41" s="5">
        <v>86.22</v>
      </c>
      <c r="CS41" s="1">
        <v>79.75</v>
      </c>
      <c r="CT41" s="1">
        <v>74.27</v>
      </c>
      <c r="CU41" s="1">
        <v>69.569999999999993</v>
      </c>
      <c r="CV41" s="1">
        <v>65.510000000000005</v>
      </c>
      <c r="CW41" s="1">
        <v>61.98</v>
      </c>
      <c r="CX41" s="1">
        <v>58.88</v>
      </c>
      <c r="CY41" s="1">
        <v>56.15</v>
      </c>
      <c r="CZ41" s="1">
        <v>53.73</v>
      </c>
      <c r="DA41" s="1">
        <v>51.28</v>
      </c>
      <c r="DB41" s="1">
        <v>0</v>
      </c>
      <c r="DC41" s="1">
        <v>0</v>
      </c>
      <c r="DD41" s="1">
        <v>0</v>
      </c>
      <c r="DE41">
        <v>135.72999999999999</v>
      </c>
      <c r="DF41">
        <v>134.78</v>
      </c>
      <c r="DG41">
        <v>134.38999999999999</v>
      </c>
      <c r="DH41">
        <v>134.46</v>
      </c>
      <c r="DI41" s="1">
        <v>134.9</v>
      </c>
      <c r="DJ41" s="1">
        <v>135.68</v>
      </c>
      <c r="DK41" s="1">
        <v>136.44</v>
      </c>
      <c r="DL41" s="1">
        <v>0</v>
      </c>
      <c r="DM41" s="1">
        <v>0</v>
      </c>
      <c r="DN41" s="10">
        <v>0</v>
      </c>
      <c r="DO41" s="10">
        <v>0</v>
      </c>
      <c r="DP41" s="1">
        <v>14.4</v>
      </c>
      <c r="DQ41" s="1">
        <v>19.45</v>
      </c>
      <c r="DR41" s="10">
        <v>0</v>
      </c>
      <c r="DS41" s="1">
        <v>32.1</v>
      </c>
      <c r="DT41" s="10">
        <v>0</v>
      </c>
      <c r="DU41" s="1">
        <v>8.25</v>
      </c>
      <c r="DV41" s="1">
        <v>9.3800000000000008</v>
      </c>
      <c r="DW41" s="1">
        <v>10.220000000000001</v>
      </c>
      <c r="DX41" s="1">
        <v>11.3</v>
      </c>
      <c r="DY41" s="1">
        <v>12.45</v>
      </c>
      <c r="DZ41" s="1">
        <v>13.66</v>
      </c>
      <c r="EA41" s="1">
        <v>14.94</v>
      </c>
      <c r="EB41" s="10">
        <v>0</v>
      </c>
      <c r="EC41" s="10">
        <v>0</v>
      </c>
      <c r="ED41" s="1">
        <v>0</v>
      </c>
      <c r="EE41" s="10">
        <v>0</v>
      </c>
      <c r="EF41" s="10">
        <v>0</v>
      </c>
      <c r="EG41" s="10">
        <v>0</v>
      </c>
      <c r="EH41" s="10">
        <v>0</v>
      </c>
      <c r="EI41" s="10">
        <v>0</v>
      </c>
      <c r="EJ41" s="10">
        <v>0</v>
      </c>
      <c r="EK41" s="10">
        <v>0</v>
      </c>
      <c r="EL41" s="10">
        <v>0</v>
      </c>
      <c r="EM41" s="10">
        <v>0</v>
      </c>
      <c r="EN41" s="10">
        <v>0</v>
      </c>
      <c r="EO41" s="10">
        <v>0</v>
      </c>
      <c r="EP41" s="10">
        <v>0</v>
      </c>
      <c r="EQ41" s="10">
        <v>0</v>
      </c>
      <c r="ER41" s="10">
        <v>0</v>
      </c>
      <c r="ES41" s="10">
        <v>0</v>
      </c>
      <c r="ET41" s="10">
        <v>0</v>
      </c>
      <c r="EU41" s="10">
        <v>0</v>
      </c>
      <c r="EV41" s="10">
        <v>0</v>
      </c>
      <c r="EW41" s="10">
        <v>0</v>
      </c>
      <c r="EX41" s="10">
        <v>0</v>
      </c>
      <c r="EY41" s="10">
        <v>0</v>
      </c>
      <c r="EZ41" s="10">
        <v>0</v>
      </c>
      <c r="FA41" s="10">
        <v>0</v>
      </c>
      <c r="FB41" s="10">
        <v>0</v>
      </c>
      <c r="FC41" s="10">
        <v>0</v>
      </c>
      <c r="FD41" s="10">
        <v>0</v>
      </c>
      <c r="FE41" s="1">
        <v>16.39</v>
      </c>
      <c r="FF41" s="1">
        <v>17.239999999999998</v>
      </c>
      <c r="FG41" s="1">
        <v>18.09</v>
      </c>
      <c r="FH41" s="1">
        <v>18.95</v>
      </c>
      <c r="FI41" s="1">
        <v>18.899999999999999</v>
      </c>
      <c r="FJ41" s="1">
        <v>20.65</v>
      </c>
      <c r="FK41" s="1">
        <v>21.52</v>
      </c>
      <c r="FL41" s="1">
        <v>22.39</v>
      </c>
      <c r="FM41" s="1">
        <v>23.25</v>
      </c>
      <c r="FN41" s="1">
        <v>24.12</v>
      </c>
      <c r="FO41" s="1">
        <v>24.99</v>
      </c>
      <c r="FP41" s="1">
        <v>25.83</v>
      </c>
      <c r="FQ41" s="1">
        <v>0</v>
      </c>
      <c r="FR41" s="1">
        <v>0</v>
      </c>
      <c r="FS41" s="10">
        <v>0</v>
      </c>
      <c r="FT41" s="10">
        <v>0</v>
      </c>
      <c r="FU41" s="9">
        <v>4.6879999999999997</v>
      </c>
      <c r="FV41">
        <v>5.0330000000000004</v>
      </c>
      <c r="FW41" s="1">
        <v>0</v>
      </c>
      <c r="FX41" s="1">
        <v>0</v>
      </c>
      <c r="FY41" s="1">
        <v>0</v>
      </c>
      <c r="FZ41" s="10">
        <v>0</v>
      </c>
      <c r="GA41" s="1">
        <v>0</v>
      </c>
      <c r="GB41" s="1">
        <v>0</v>
      </c>
      <c r="GC41" s="10">
        <v>0</v>
      </c>
      <c r="GD41" s="1">
        <v>0</v>
      </c>
      <c r="GE41" s="1">
        <v>0</v>
      </c>
      <c r="GF41" s="10">
        <v>0</v>
      </c>
      <c r="GG41" s="1">
        <v>0</v>
      </c>
      <c r="GH41" s="1">
        <v>0</v>
      </c>
      <c r="GI41" s="10">
        <v>0</v>
      </c>
      <c r="GJ41" s="10">
        <v>0</v>
      </c>
      <c r="GK41" s="1">
        <v>0</v>
      </c>
      <c r="GL41" s="10">
        <v>0</v>
      </c>
      <c r="GM41" s="1">
        <v>0</v>
      </c>
      <c r="GN41" s="1">
        <v>0</v>
      </c>
      <c r="GO41" s="10">
        <v>0</v>
      </c>
      <c r="GP41" s="1">
        <v>0</v>
      </c>
      <c r="GQ41" s="1">
        <v>0</v>
      </c>
      <c r="GR41" s="1">
        <v>0</v>
      </c>
      <c r="GS41" s="1">
        <v>0</v>
      </c>
      <c r="GT41" s="10">
        <v>0</v>
      </c>
      <c r="GU41" s="1">
        <v>0</v>
      </c>
      <c r="GV41" s="1">
        <v>0</v>
      </c>
      <c r="GW41" s="1">
        <v>0</v>
      </c>
      <c r="GX41" s="1">
        <v>0</v>
      </c>
      <c r="GY41" s="10">
        <v>0</v>
      </c>
      <c r="GZ41" s="1">
        <v>9.0500000000000007</v>
      </c>
      <c r="HA41" s="1">
        <v>10.47</v>
      </c>
      <c r="HB41" s="1">
        <v>11.98</v>
      </c>
      <c r="HC41" s="1">
        <v>13.6</v>
      </c>
      <c r="HD41" s="1">
        <v>15.31</v>
      </c>
      <c r="HE41" s="1">
        <v>17.12</v>
      </c>
      <c r="HF41" s="1">
        <v>19.02</v>
      </c>
      <c r="HG41" s="1">
        <v>21</v>
      </c>
      <c r="HH41" s="1">
        <v>23.07</v>
      </c>
      <c r="HI41" s="1">
        <v>25.21</v>
      </c>
      <c r="HJ41" s="1">
        <v>27.43</v>
      </c>
      <c r="HK41" s="1">
        <v>29.72</v>
      </c>
      <c r="HL41" s="1">
        <v>0</v>
      </c>
      <c r="HM41" s="10">
        <v>0</v>
      </c>
      <c r="HN41" s="1">
        <v>0</v>
      </c>
      <c r="HO41" s="10">
        <v>0</v>
      </c>
      <c r="HP41" s="1">
        <v>77.28</v>
      </c>
      <c r="HQ41">
        <v>58.36</v>
      </c>
      <c r="HR41" s="1">
        <v>49.84</v>
      </c>
      <c r="HS41" s="1">
        <v>0</v>
      </c>
      <c r="HT41" s="1">
        <v>0</v>
      </c>
      <c r="HU41" s="1">
        <v>48.74</v>
      </c>
      <c r="HV41" s="1">
        <v>54.92</v>
      </c>
      <c r="HW41" s="1">
        <v>112.04</v>
      </c>
      <c r="HX41" s="1">
        <v>81.150000000000006</v>
      </c>
      <c r="HY41" s="1">
        <v>68.95</v>
      </c>
      <c r="HZ41" s="1">
        <v>0</v>
      </c>
      <c r="IA41" s="1">
        <v>0</v>
      </c>
      <c r="IB41" s="1">
        <v>0</v>
      </c>
      <c r="IC41" s="1">
        <v>710.2</v>
      </c>
      <c r="ID41" s="1">
        <v>616.9</v>
      </c>
      <c r="IE41" s="1">
        <v>558.70000000000005</v>
      </c>
      <c r="IF41" s="1">
        <v>0</v>
      </c>
      <c r="IG41" s="1">
        <v>0</v>
      </c>
      <c r="IH41" s="1">
        <v>0</v>
      </c>
      <c r="II41" s="1">
        <v>0</v>
      </c>
      <c r="IJ41" s="1">
        <v>78.040000000000006</v>
      </c>
      <c r="IK41" s="1">
        <v>71.69</v>
      </c>
      <c r="IL41" s="1">
        <v>0</v>
      </c>
      <c r="IM41" s="1">
        <v>0</v>
      </c>
      <c r="IN41" s="1">
        <v>0</v>
      </c>
      <c r="IO41" s="1">
        <v>0</v>
      </c>
      <c r="IP41" s="1">
        <v>0</v>
      </c>
      <c r="IQ41" s="1">
        <v>0</v>
      </c>
      <c r="IR41" s="1">
        <v>0</v>
      </c>
      <c r="IS41" s="1">
        <v>0</v>
      </c>
      <c r="IT41" s="1">
        <v>0</v>
      </c>
      <c r="IU41" s="1">
        <v>0</v>
      </c>
      <c r="IV41" s="1">
        <v>0</v>
      </c>
      <c r="IW41" s="1">
        <v>0</v>
      </c>
      <c r="IX41" s="1">
        <v>0</v>
      </c>
      <c r="IY41" s="1">
        <v>0</v>
      </c>
      <c r="IZ41" s="1">
        <v>0</v>
      </c>
      <c r="JA41" s="1">
        <v>0</v>
      </c>
      <c r="JB41" s="1">
        <v>85.28</v>
      </c>
      <c r="JC41" s="1">
        <v>68.7</v>
      </c>
      <c r="JD41" s="1">
        <v>14.07</v>
      </c>
      <c r="JE41" s="1">
        <v>14.76</v>
      </c>
      <c r="JF41" s="1">
        <v>15.5</v>
      </c>
      <c r="JG41" s="1">
        <v>16.27</v>
      </c>
      <c r="JH41" s="1">
        <v>17.07</v>
      </c>
      <c r="JI41" s="1">
        <v>17.89</v>
      </c>
      <c r="JJ41" s="1">
        <v>64</v>
      </c>
      <c r="JK41" s="1">
        <v>78.739999999999995</v>
      </c>
      <c r="JL41" s="1">
        <v>94.18</v>
      </c>
      <c r="JM41" s="1">
        <v>110.32</v>
      </c>
      <c r="JN41" s="1">
        <v>127.1</v>
      </c>
      <c r="JO41" s="1">
        <v>144.46</v>
      </c>
      <c r="JP41" s="1">
        <v>100.21</v>
      </c>
      <c r="JQ41" s="1">
        <v>84.73</v>
      </c>
      <c r="JR41" s="1">
        <v>75.27</v>
      </c>
      <c r="JS41" s="1">
        <v>68.930000000000007</v>
      </c>
      <c r="JT41" s="1">
        <v>64.11</v>
      </c>
      <c r="JU41" s="1">
        <v>0</v>
      </c>
      <c r="JV41" s="1">
        <v>0</v>
      </c>
      <c r="JW41" s="1">
        <v>99.46</v>
      </c>
      <c r="JX41" s="1">
        <v>83.98</v>
      </c>
      <c r="JY41" s="1">
        <v>74.52</v>
      </c>
      <c r="JZ41" s="1">
        <v>68.180000000000007</v>
      </c>
      <c r="KA41" s="1">
        <v>63.36</v>
      </c>
      <c r="KB41" s="1">
        <v>0</v>
      </c>
      <c r="KC41" s="1">
        <v>0</v>
      </c>
    </row>
    <row r="42" spans="1:289" x14ac:dyDescent="0.15">
      <c r="A42" s="8">
        <v>50</v>
      </c>
      <c r="B42" s="1">
        <v>44.31</v>
      </c>
      <c r="C42" s="1">
        <v>104.77</v>
      </c>
      <c r="D42" s="1">
        <v>95.64</v>
      </c>
      <c r="E42" s="1">
        <v>88.16</v>
      </c>
      <c r="F42" s="1">
        <v>81.94</v>
      </c>
      <c r="G42" s="1">
        <v>76.73</v>
      </c>
      <c r="H42" s="1">
        <v>72.319999999999993</v>
      </c>
      <c r="I42" s="1">
        <v>68.56</v>
      </c>
      <c r="J42" s="1">
        <v>65.34</v>
      </c>
      <c r="K42" s="1">
        <v>62.57</v>
      </c>
      <c r="L42" s="1">
        <v>60.19</v>
      </c>
      <c r="M42" s="1">
        <v>58.13</v>
      </c>
      <c r="N42" s="1">
        <v>56.08</v>
      </c>
      <c r="O42" s="1">
        <v>54.28</v>
      </c>
      <c r="P42" s="1">
        <v>52.7</v>
      </c>
      <c r="Q42" s="1">
        <v>51.32</v>
      </c>
      <c r="R42" s="1">
        <v>50.11</v>
      </c>
      <c r="S42" s="10">
        <v>0</v>
      </c>
      <c r="T42" s="10">
        <v>0</v>
      </c>
      <c r="U42" s="1">
        <v>0</v>
      </c>
      <c r="V42" s="10">
        <v>0</v>
      </c>
      <c r="W42" s="10">
        <v>0</v>
      </c>
      <c r="X42" s="10">
        <v>0</v>
      </c>
      <c r="Y42" s="10">
        <v>0</v>
      </c>
      <c r="Z42" s="10">
        <v>0</v>
      </c>
      <c r="AA42" s="10">
        <v>0</v>
      </c>
      <c r="AB42" s="10">
        <v>0</v>
      </c>
      <c r="AC42" s="10">
        <v>0</v>
      </c>
      <c r="AD42" s="10">
        <v>0</v>
      </c>
      <c r="AE42" s="10">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76.98</v>
      </c>
      <c r="AX42" s="1">
        <v>70.75</v>
      </c>
      <c r="AY42" s="1">
        <v>66.13</v>
      </c>
      <c r="AZ42" s="1">
        <v>0</v>
      </c>
      <c r="BA42" s="1">
        <v>0</v>
      </c>
      <c r="BB42" s="6">
        <v>116.72</v>
      </c>
      <c r="BC42" s="6">
        <v>108.35</v>
      </c>
      <c r="BD42" s="6">
        <v>101.73</v>
      </c>
      <c r="BE42" s="6">
        <v>96.46</v>
      </c>
      <c r="BF42" s="6">
        <v>92.29</v>
      </c>
      <c r="BG42" s="6">
        <v>88.89</v>
      </c>
      <c r="BH42" s="1">
        <v>0</v>
      </c>
      <c r="BI42" s="1">
        <v>0</v>
      </c>
      <c r="BJ42" s="1">
        <v>0</v>
      </c>
      <c r="BK42" s="1">
        <v>0</v>
      </c>
      <c r="BL42" s="1">
        <v>0</v>
      </c>
      <c r="BM42" s="1">
        <v>0</v>
      </c>
      <c r="BN42" s="1">
        <v>0</v>
      </c>
      <c r="BO42" s="1">
        <v>0</v>
      </c>
      <c r="BP42" s="1">
        <v>0</v>
      </c>
      <c r="BQ42" s="1">
        <v>138.19999999999999</v>
      </c>
      <c r="BR42" s="1">
        <v>112.41</v>
      </c>
      <c r="BS42" s="1">
        <v>104.25</v>
      </c>
      <c r="BT42" s="1">
        <v>0</v>
      </c>
      <c r="BU42" s="10">
        <v>0</v>
      </c>
      <c r="BV42" s="1">
        <v>0</v>
      </c>
      <c r="BW42" s="1">
        <v>124.41</v>
      </c>
      <c r="BX42" s="1">
        <v>96.45</v>
      </c>
      <c r="BY42" s="1">
        <v>86.81</v>
      </c>
      <c r="BZ42" s="1">
        <v>0</v>
      </c>
      <c r="CA42" s="6">
        <v>125.63</v>
      </c>
      <c r="CB42" s="6">
        <v>118.83</v>
      </c>
      <c r="CC42" s="6">
        <v>113.85</v>
      </c>
      <c r="CD42" s="6">
        <v>110.3</v>
      </c>
      <c r="CE42" s="6">
        <v>107.88</v>
      </c>
      <c r="CF42" s="6">
        <v>106.44</v>
      </c>
      <c r="CG42" s="6">
        <v>105.77</v>
      </c>
      <c r="CH42" s="1">
        <v>105.79</v>
      </c>
      <c r="CI42" s="1">
        <v>106.42</v>
      </c>
      <c r="CJ42" s="1">
        <v>107.56</v>
      </c>
      <c r="CK42" s="1">
        <v>109.18</v>
      </c>
      <c r="CL42" s="1">
        <v>0</v>
      </c>
      <c r="CM42" s="10">
        <v>0</v>
      </c>
      <c r="CN42" s="10">
        <v>0</v>
      </c>
      <c r="CO42" s="10">
        <v>0</v>
      </c>
      <c r="CP42" s="1">
        <v>103.87</v>
      </c>
      <c r="CQ42" s="5">
        <v>94.52</v>
      </c>
      <c r="CR42" s="5">
        <v>86.8</v>
      </c>
      <c r="CS42" s="1">
        <v>80.349999999999994</v>
      </c>
      <c r="CT42" s="1">
        <v>74.88</v>
      </c>
      <c r="CU42" s="1">
        <v>70.2</v>
      </c>
      <c r="CV42" s="1">
        <v>66.150000000000006</v>
      </c>
      <c r="CW42" s="1">
        <v>62.63</v>
      </c>
      <c r="CX42" s="1">
        <v>59.55</v>
      </c>
      <c r="CY42" s="1">
        <v>56.83</v>
      </c>
      <c r="CZ42" s="1">
        <v>54.43</v>
      </c>
      <c r="DA42" s="1">
        <v>0</v>
      </c>
      <c r="DB42" s="1">
        <v>0</v>
      </c>
      <c r="DC42" s="1">
        <v>0</v>
      </c>
      <c r="DD42" s="1">
        <v>0</v>
      </c>
      <c r="DE42">
        <v>143.25</v>
      </c>
      <c r="DF42">
        <v>142.47999999999999</v>
      </c>
      <c r="DG42">
        <v>142.27000000000001</v>
      </c>
      <c r="DH42">
        <v>142.51</v>
      </c>
      <c r="DI42">
        <v>143.13999999999999</v>
      </c>
      <c r="DJ42" s="1">
        <v>144.08000000000001</v>
      </c>
      <c r="DK42" s="1">
        <v>0</v>
      </c>
      <c r="DL42" s="1">
        <v>0</v>
      </c>
      <c r="DM42" s="10">
        <v>0</v>
      </c>
      <c r="DN42" s="10">
        <v>0</v>
      </c>
      <c r="DO42" s="10">
        <v>0</v>
      </c>
      <c r="DP42" s="1">
        <v>16.2</v>
      </c>
      <c r="DQ42" s="1">
        <v>21.8</v>
      </c>
      <c r="DR42" s="10">
        <v>0</v>
      </c>
      <c r="DS42" s="1">
        <v>35.1</v>
      </c>
      <c r="DT42" s="1">
        <v>0</v>
      </c>
      <c r="DU42" s="1">
        <v>9.07</v>
      </c>
      <c r="DV42" s="1">
        <v>10.130000000000001</v>
      </c>
      <c r="DW42" s="1">
        <v>11.27</v>
      </c>
      <c r="DX42" s="1">
        <v>12.48</v>
      </c>
      <c r="DY42" s="1">
        <v>13.75</v>
      </c>
      <c r="DZ42" s="1">
        <v>15.1</v>
      </c>
      <c r="EA42" s="10">
        <v>0</v>
      </c>
      <c r="EB42" s="10">
        <v>0</v>
      </c>
      <c r="EC42" s="1">
        <v>0</v>
      </c>
      <c r="ED42" s="10">
        <v>0</v>
      </c>
      <c r="EE42" s="10">
        <v>0</v>
      </c>
      <c r="EF42" s="10">
        <v>0</v>
      </c>
      <c r="EG42" s="10">
        <v>0</v>
      </c>
      <c r="EH42" s="10">
        <v>0</v>
      </c>
      <c r="EI42" s="10">
        <v>0</v>
      </c>
      <c r="EJ42" s="10">
        <v>0</v>
      </c>
      <c r="EK42" s="10">
        <v>0</v>
      </c>
      <c r="EL42" s="10">
        <v>0</v>
      </c>
      <c r="EM42" s="10">
        <v>0</v>
      </c>
      <c r="EN42" s="10">
        <v>0</v>
      </c>
      <c r="EO42" s="10">
        <v>0</v>
      </c>
      <c r="EP42" s="10">
        <v>0</v>
      </c>
      <c r="EQ42" s="10">
        <v>0</v>
      </c>
      <c r="ER42" s="10">
        <v>0</v>
      </c>
      <c r="ES42" s="10">
        <v>0</v>
      </c>
      <c r="ET42" s="10">
        <v>0</v>
      </c>
      <c r="EU42" s="10">
        <v>0</v>
      </c>
      <c r="EV42" s="10">
        <v>0</v>
      </c>
      <c r="EW42" s="10">
        <v>0</v>
      </c>
      <c r="EX42" s="10">
        <v>0</v>
      </c>
      <c r="EY42" s="10">
        <v>0</v>
      </c>
      <c r="EZ42" s="10">
        <v>0</v>
      </c>
      <c r="FA42" s="10">
        <v>0</v>
      </c>
      <c r="FB42" s="10">
        <v>0</v>
      </c>
      <c r="FC42" s="10">
        <v>0</v>
      </c>
      <c r="FD42" s="10">
        <v>0</v>
      </c>
      <c r="FE42" s="1">
        <v>18.14</v>
      </c>
      <c r="FF42" s="1">
        <v>19.04</v>
      </c>
      <c r="FG42" s="1">
        <v>19.940000000000001</v>
      </c>
      <c r="FH42" s="1">
        <v>20.83</v>
      </c>
      <c r="FI42" s="1">
        <v>21.73</v>
      </c>
      <c r="FJ42" s="1">
        <v>22.63</v>
      </c>
      <c r="FK42" s="1">
        <v>23.54</v>
      </c>
      <c r="FL42" s="1">
        <v>24.45</v>
      </c>
      <c r="FM42" s="1">
        <v>25.36</v>
      </c>
      <c r="FN42" s="1">
        <v>26.27</v>
      </c>
      <c r="FO42" s="1">
        <v>27.18</v>
      </c>
      <c r="FP42" s="1">
        <v>0</v>
      </c>
      <c r="FQ42" s="1">
        <v>0</v>
      </c>
      <c r="FR42" s="10">
        <v>0</v>
      </c>
      <c r="FS42" s="10">
        <v>0</v>
      </c>
      <c r="FT42" s="10">
        <v>0</v>
      </c>
      <c r="FU42" s="9">
        <v>5.26</v>
      </c>
      <c r="FV42" s="1">
        <v>0</v>
      </c>
      <c r="FW42" s="1">
        <v>0</v>
      </c>
      <c r="FX42" s="1">
        <v>0</v>
      </c>
      <c r="FY42" s="1">
        <v>0</v>
      </c>
      <c r="FZ42" s="10">
        <v>0</v>
      </c>
      <c r="GA42" s="1">
        <v>0</v>
      </c>
      <c r="GB42" s="1">
        <v>0</v>
      </c>
      <c r="GC42" s="10">
        <v>0</v>
      </c>
      <c r="GD42" s="1">
        <v>0</v>
      </c>
      <c r="GE42" s="10">
        <v>0</v>
      </c>
      <c r="GF42" s="1">
        <v>0</v>
      </c>
      <c r="GG42" s="1">
        <v>0</v>
      </c>
      <c r="GH42" s="1">
        <v>0</v>
      </c>
      <c r="GI42" s="10">
        <v>0</v>
      </c>
      <c r="GJ42" s="10">
        <v>0</v>
      </c>
      <c r="GK42" s="1">
        <v>0</v>
      </c>
      <c r="GL42" s="10">
        <v>0</v>
      </c>
      <c r="GM42" s="1">
        <v>0</v>
      </c>
      <c r="GN42" s="1">
        <v>0</v>
      </c>
      <c r="GO42" s="10">
        <v>0</v>
      </c>
      <c r="GP42" s="1">
        <v>0</v>
      </c>
      <c r="GQ42" s="1">
        <v>0</v>
      </c>
      <c r="GR42" s="1">
        <v>0</v>
      </c>
      <c r="GS42" s="1">
        <v>0</v>
      </c>
      <c r="GT42" s="10">
        <v>0</v>
      </c>
      <c r="GU42" s="1">
        <v>0</v>
      </c>
      <c r="GV42" s="1">
        <v>0</v>
      </c>
      <c r="GW42" s="1">
        <v>0</v>
      </c>
      <c r="GX42" s="1">
        <v>0</v>
      </c>
      <c r="GY42" s="10">
        <v>0</v>
      </c>
      <c r="GZ42" s="1">
        <v>10.050000000000001</v>
      </c>
      <c r="HA42" s="1">
        <v>11.58</v>
      </c>
      <c r="HB42" s="1">
        <v>13.22</v>
      </c>
      <c r="HC42" s="1">
        <v>14.95</v>
      </c>
      <c r="HD42" s="1">
        <v>16.78</v>
      </c>
      <c r="HE42" s="1">
        <v>18.7</v>
      </c>
      <c r="HF42" s="1">
        <v>20.71</v>
      </c>
      <c r="HG42" s="1">
        <v>22.82</v>
      </c>
      <c r="HH42" s="1">
        <v>25</v>
      </c>
      <c r="HI42" s="1">
        <v>27.27</v>
      </c>
      <c r="HJ42" s="1">
        <v>29.6</v>
      </c>
      <c r="HK42" s="1">
        <v>0</v>
      </c>
      <c r="HL42" s="10">
        <v>0</v>
      </c>
      <c r="HM42" s="1">
        <v>0</v>
      </c>
      <c r="HN42" s="10">
        <v>0</v>
      </c>
      <c r="HO42" s="10">
        <v>0</v>
      </c>
      <c r="HP42" s="1">
        <v>79.290000000000006</v>
      </c>
      <c r="HQ42" s="1">
        <v>60.1</v>
      </c>
      <c r="HR42" s="1">
        <v>51.5</v>
      </c>
      <c r="HS42" s="1">
        <v>0</v>
      </c>
      <c r="HT42" s="1">
        <v>0</v>
      </c>
      <c r="HU42" s="1">
        <v>51.5</v>
      </c>
      <c r="HV42" s="1">
        <v>58.13</v>
      </c>
      <c r="HW42" s="1">
        <v>113.5</v>
      </c>
      <c r="HX42" s="1">
        <v>83.02</v>
      </c>
      <c r="HY42" s="1">
        <v>71.2</v>
      </c>
      <c r="HZ42" s="1">
        <v>0</v>
      </c>
      <c r="IA42" s="1">
        <v>0</v>
      </c>
      <c r="IB42" s="1">
        <v>0</v>
      </c>
      <c r="IC42" s="1">
        <v>710.2</v>
      </c>
      <c r="ID42" s="1">
        <v>616.9</v>
      </c>
      <c r="IE42" s="1">
        <v>558.70000000000005</v>
      </c>
      <c r="IF42" s="1">
        <v>0</v>
      </c>
      <c r="IG42" s="1">
        <v>0</v>
      </c>
      <c r="IH42" s="1">
        <v>0</v>
      </c>
      <c r="II42" s="1">
        <v>0</v>
      </c>
      <c r="IJ42" s="1">
        <v>79.48</v>
      </c>
      <c r="IK42" s="1">
        <v>0</v>
      </c>
      <c r="IL42" s="1">
        <v>0</v>
      </c>
      <c r="IM42" s="1">
        <v>0</v>
      </c>
      <c r="IN42" s="1">
        <v>0</v>
      </c>
      <c r="IO42" s="1">
        <v>0</v>
      </c>
      <c r="IP42" s="1">
        <v>0</v>
      </c>
      <c r="IQ42" s="1">
        <v>0</v>
      </c>
      <c r="IR42" s="1">
        <v>0</v>
      </c>
      <c r="IS42" s="1">
        <v>0</v>
      </c>
      <c r="IT42" s="1">
        <v>0</v>
      </c>
      <c r="IU42" s="1">
        <v>0</v>
      </c>
      <c r="IV42" s="1">
        <v>0</v>
      </c>
      <c r="IW42" s="1">
        <v>0</v>
      </c>
      <c r="IX42" s="1">
        <v>0</v>
      </c>
      <c r="IY42" s="1">
        <v>0</v>
      </c>
      <c r="IZ42" s="1">
        <v>0</v>
      </c>
      <c r="JA42" s="1">
        <v>0</v>
      </c>
      <c r="JB42" s="1">
        <v>86.21</v>
      </c>
      <c r="JC42" s="1">
        <v>69.83</v>
      </c>
      <c r="JD42" s="1">
        <v>15.47</v>
      </c>
      <c r="JE42" s="1">
        <v>16.239999999999998</v>
      </c>
      <c r="JF42" s="1">
        <v>17.059999999999999</v>
      </c>
      <c r="JG42" s="1">
        <v>17.899999999999999</v>
      </c>
      <c r="JH42" s="1">
        <v>18.760000000000002</v>
      </c>
      <c r="JI42" s="1">
        <v>19.64</v>
      </c>
      <c r="JJ42" s="1">
        <v>70.239999999999995</v>
      </c>
      <c r="JK42" s="1">
        <v>86.41</v>
      </c>
      <c r="JL42" s="1">
        <v>103.31</v>
      </c>
      <c r="JM42" s="1">
        <v>120.89</v>
      </c>
      <c r="JN42" s="1">
        <v>139.07</v>
      </c>
      <c r="JO42" s="1">
        <v>157.76</v>
      </c>
      <c r="JP42" s="1">
        <v>101.33</v>
      </c>
      <c r="JQ42" s="1">
        <v>85.97</v>
      </c>
      <c r="JR42" s="1">
        <v>76.64</v>
      </c>
      <c r="JS42" s="1">
        <v>70.42</v>
      </c>
      <c r="JT42" s="1">
        <v>65.7</v>
      </c>
      <c r="JU42" s="1">
        <v>0</v>
      </c>
      <c r="JV42" s="1">
        <v>0</v>
      </c>
      <c r="JW42" s="1">
        <v>100.58</v>
      </c>
      <c r="JX42" s="1">
        <v>85.22</v>
      </c>
      <c r="JY42" s="1">
        <v>75.89</v>
      </c>
      <c r="JZ42" s="1">
        <v>69.67</v>
      </c>
      <c r="KA42" s="1">
        <v>64.95</v>
      </c>
      <c r="KB42" s="1">
        <v>0</v>
      </c>
      <c r="KC42" s="1">
        <v>0</v>
      </c>
    </row>
    <row r="43" spans="1:289" x14ac:dyDescent="0.15">
      <c r="A43" s="8">
        <v>51</v>
      </c>
      <c r="B43" s="1">
        <v>46.34</v>
      </c>
      <c r="C43" s="1">
        <v>105.57</v>
      </c>
      <c r="D43" s="1">
        <v>96.48</v>
      </c>
      <c r="E43" s="1">
        <v>89.03</v>
      </c>
      <c r="F43" s="1">
        <v>82.86</v>
      </c>
      <c r="G43" s="1">
        <v>77.69</v>
      </c>
      <c r="H43" s="1">
        <v>73.319999999999993</v>
      </c>
      <c r="I43" s="1">
        <v>69.599999999999994</v>
      </c>
      <c r="J43" s="1">
        <v>66.42</v>
      </c>
      <c r="K43" s="1">
        <v>63.7</v>
      </c>
      <c r="L43" s="1">
        <v>61.36</v>
      </c>
      <c r="M43" s="1">
        <v>59.35</v>
      </c>
      <c r="N43" s="1">
        <v>57.34</v>
      </c>
      <c r="O43" s="1">
        <v>55.58</v>
      </c>
      <c r="P43" s="1">
        <v>54.05</v>
      </c>
      <c r="Q43" s="1">
        <v>52.71</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10">
        <v>0</v>
      </c>
      <c r="AM43" s="10">
        <v>0</v>
      </c>
      <c r="AN43" s="10">
        <v>0</v>
      </c>
      <c r="AO43" s="10">
        <v>0</v>
      </c>
      <c r="AP43" s="10">
        <v>0</v>
      </c>
      <c r="AQ43" s="10">
        <v>0</v>
      </c>
      <c r="AR43" s="10">
        <v>0</v>
      </c>
      <c r="AS43" s="10">
        <v>0</v>
      </c>
      <c r="AT43" s="10">
        <v>0</v>
      </c>
      <c r="AU43" s="10">
        <v>0</v>
      </c>
      <c r="AV43" s="10">
        <v>0</v>
      </c>
      <c r="AW43" s="1">
        <v>78.540000000000006</v>
      </c>
      <c r="AX43" s="1">
        <v>72.430000000000007</v>
      </c>
      <c r="AY43" s="1">
        <v>67.89</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0">
        <v>0</v>
      </c>
      <c r="BV43" s="1">
        <v>0</v>
      </c>
      <c r="BW43" s="1">
        <v>127.11</v>
      </c>
      <c r="BX43" s="1">
        <v>99.58</v>
      </c>
      <c r="BY43" s="1">
        <v>0</v>
      </c>
      <c r="BZ43" s="1">
        <v>0</v>
      </c>
      <c r="CA43" s="6">
        <v>128.43</v>
      </c>
      <c r="CB43" s="6">
        <v>121.95</v>
      </c>
      <c r="CC43" s="6">
        <v>117.3</v>
      </c>
      <c r="CD43" s="6">
        <v>114.08</v>
      </c>
      <c r="CE43" s="6">
        <v>112.01</v>
      </c>
      <c r="CF43" s="6">
        <v>110.89</v>
      </c>
      <c r="CG43" s="6">
        <v>110.58</v>
      </c>
      <c r="CH43" s="1">
        <v>110.97</v>
      </c>
      <c r="CI43" s="1">
        <v>111.97</v>
      </c>
      <c r="CJ43" s="1">
        <v>113.49</v>
      </c>
      <c r="CK43" s="1">
        <v>0</v>
      </c>
      <c r="CL43" s="10">
        <v>0</v>
      </c>
      <c r="CM43" s="10">
        <v>0</v>
      </c>
      <c r="CN43" s="10">
        <v>0</v>
      </c>
      <c r="CO43" s="1">
        <v>0</v>
      </c>
      <c r="CP43" s="1">
        <v>104.47</v>
      </c>
      <c r="CQ43" s="5">
        <v>95.14</v>
      </c>
      <c r="CR43" s="5">
        <v>87.45</v>
      </c>
      <c r="CS43" s="1">
        <v>81.010000000000005</v>
      </c>
      <c r="CT43" s="1">
        <v>75.55</v>
      </c>
      <c r="CU43" s="1">
        <v>70.88</v>
      </c>
      <c r="CV43" s="1">
        <v>66.849999999999994</v>
      </c>
      <c r="CW43" s="1">
        <v>63.35</v>
      </c>
      <c r="CX43" s="1">
        <v>60.28</v>
      </c>
      <c r="CY43" s="1">
        <v>57.57</v>
      </c>
      <c r="CZ43" s="1">
        <v>0</v>
      </c>
      <c r="DA43" s="1">
        <v>0</v>
      </c>
      <c r="DB43" s="1">
        <v>0</v>
      </c>
      <c r="DC43" s="1">
        <v>0</v>
      </c>
      <c r="DD43" s="1">
        <v>0</v>
      </c>
      <c r="DE43">
        <v>151.35</v>
      </c>
      <c r="DF43">
        <v>150.78</v>
      </c>
      <c r="DG43">
        <v>150.75</v>
      </c>
      <c r="DH43">
        <v>151.18</v>
      </c>
      <c r="DI43">
        <v>151.97999999999999</v>
      </c>
      <c r="DJ43" s="1">
        <v>0</v>
      </c>
      <c r="DK43" s="1">
        <v>0</v>
      </c>
      <c r="DL43" s="10">
        <v>0</v>
      </c>
      <c r="DM43" s="10">
        <v>0</v>
      </c>
      <c r="DN43" s="10">
        <v>0</v>
      </c>
      <c r="DO43" s="10">
        <v>0</v>
      </c>
      <c r="DP43" s="1">
        <v>18.25</v>
      </c>
      <c r="DQ43" s="1">
        <v>24.38</v>
      </c>
      <c r="DR43" s="1">
        <v>0</v>
      </c>
      <c r="DS43" s="10">
        <v>0</v>
      </c>
      <c r="DT43" s="10">
        <v>0</v>
      </c>
      <c r="DU43" s="1">
        <v>9.98</v>
      </c>
      <c r="DV43" s="1">
        <v>11.17</v>
      </c>
      <c r="DW43" s="1">
        <v>12.44</v>
      </c>
      <c r="DX43" s="1">
        <v>13.78</v>
      </c>
      <c r="DY43" s="1">
        <v>15.19</v>
      </c>
      <c r="DZ43" s="10">
        <v>0</v>
      </c>
      <c r="EA43" s="10">
        <v>0</v>
      </c>
      <c r="EB43" s="1">
        <v>0</v>
      </c>
      <c r="EC43" s="10">
        <v>0</v>
      </c>
      <c r="ED43" s="10">
        <v>0</v>
      </c>
      <c r="EE43" s="10">
        <v>0</v>
      </c>
      <c r="EF43" s="10">
        <v>0</v>
      </c>
      <c r="EG43" s="10">
        <v>0</v>
      </c>
      <c r="EH43" s="10">
        <v>0</v>
      </c>
      <c r="EI43" s="10">
        <v>0</v>
      </c>
      <c r="EJ43" s="10">
        <v>0</v>
      </c>
      <c r="EK43" s="10">
        <v>0</v>
      </c>
      <c r="EL43" s="10">
        <v>0</v>
      </c>
      <c r="EM43" s="10">
        <v>0</v>
      </c>
      <c r="EN43" s="10">
        <v>0</v>
      </c>
      <c r="EO43" s="10">
        <v>0</v>
      </c>
      <c r="EP43" s="10">
        <v>0</v>
      </c>
      <c r="EQ43" s="10">
        <v>0</v>
      </c>
      <c r="ER43" s="10">
        <v>0</v>
      </c>
      <c r="ES43" s="10">
        <v>0</v>
      </c>
      <c r="ET43" s="10">
        <v>0</v>
      </c>
      <c r="EU43" s="10">
        <v>0</v>
      </c>
      <c r="EV43" s="10">
        <v>0</v>
      </c>
      <c r="EW43" s="10">
        <v>0</v>
      </c>
      <c r="EX43" s="10">
        <v>0</v>
      </c>
      <c r="EY43" s="10">
        <v>0</v>
      </c>
      <c r="EZ43" s="10">
        <v>0</v>
      </c>
      <c r="FA43" s="10">
        <v>0</v>
      </c>
      <c r="FB43" s="10">
        <v>0</v>
      </c>
      <c r="FC43" s="10">
        <v>0</v>
      </c>
      <c r="FD43" s="10">
        <v>0</v>
      </c>
      <c r="FE43" s="1">
        <v>20.04</v>
      </c>
      <c r="FF43" s="1">
        <v>20.98</v>
      </c>
      <c r="FG43" s="1">
        <v>21.93</v>
      </c>
      <c r="FH43" s="1">
        <v>22.87</v>
      </c>
      <c r="FI43" s="1">
        <v>23.82</v>
      </c>
      <c r="FJ43" s="1">
        <v>24.76</v>
      </c>
      <c r="FK43" s="1">
        <v>25.71</v>
      </c>
      <c r="FL43" s="1">
        <v>26.66</v>
      </c>
      <c r="FM43" s="1">
        <v>27.62</v>
      </c>
      <c r="FN43" s="1">
        <v>28.57</v>
      </c>
      <c r="FO43" s="1">
        <v>0</v>
      </c>
      <c r="FP43" s="1">
        <v>0</v>
      </c>
      <c r="FQ43" s="10">
        <v>0</v>
      </c>
      <c r="FR43" s="10">
        <v>0</v>
      </c>
      <c r="FS43" s="10">
        <v>0</v>
      </c>
      <c r="FT43" s="10">
        <v>0</v>
      </c>
      <c r="FU43" s="1">
        <v>0</v>
      </c>
      <c r="FV43" s="1">
        <v>0</v>
      </c>
      <c r="FW43" s="1">
        <v>0</v>
      </c>
      <c r="FX43" s="1">
        <v>0</v>
      </c>
      <c r="FY43" s="1">
        <v>0</v>
      </c>
      <c r="FZ43" s="10">
        <v>0</v>
      </c>
      <c r="GA43" s="1">
        <v>0</v>
      </c>
      <c r="GB43" s="1">
        <v>0</v>
      </c>
      <c r="GC43" s="1">
        <v>0</v>
      </c>
      <c r="GD43" s="1">
        <v>0</v>
      </c>
      <c r="GE43" s="1">
        <v>0</v>
      </c>
      <c r="GF43" s="1">
        <v>0</v>
      </c>
      <c r="GG43" s="1">
        <v>0</v>
      </c>
      <c r="GH43" s="1">
        <v>0</v>
      </c>
      <c r="GI43" s="1">
        <v>0</v>
      </c>
      <c r="GJ43" s="1">
        <v>0</v>
      </c>
      <c r="GK43" s="1">
        <v>0</v>
      </c>
      <c r="GL43" s="1">
        <v>0</v>
      </c>
      <c r="GM43" s="1">
        <v>0</v>
      </c>
      <c r="GN43" s="1">
        <v>0</v>
      </c>
      <c r="GO43" s="1">
        <v>0</v>
      </c>
      <c r="GP43" s="1">
        <v>0</v>
      </c>
      <c r="GQ43" s="1">
        <v>0</v>
      </c>
      <c r="GR43" s="1">
        <v>0</v>
      </c>
      <c r="GS43" s="1">
        <v>0</v>
      </c>
      <c r="GT43" s="1">
        <v>0</v>
      </c>
      <c r="GU43" s="1">
        <v>0</v>
      </c>
      <c r="GV43" s="1">
        <v>0</v>
      </c>
      <c r="GW43" s="1">
        <v>0</v>
      </c>
      <c r="GX43" s="1">
        <v>0</v>
      </c>
      <c r="GY43" s="1">
        <v>0</v>
      </c>
      <c r="GZ43" s="1">
        <v>11.12</v>
      </c>
      <c r="HA43" s="1">
        <v>12.77</v>
      </c>
      <c r="HB43" s="1">
        <v>14.52</v>
      </c>
      <c r="HC43" s="1">
        <v>16.37</v>
      </c>
      <c r="HD43" s="1">
        <v>18.32</v>
      </c>
      <c r="HE43" s="1">
        <v>20.36</v>
      </c>
      <c r="HF43" s="1">
        <v>22.5</v>
      </c>
      <c r="HG43" s="1">
        <v>24.72</v>
      </c>
      <c r="HH43" s="1">
        <v>27.03</v>
      </c>
      <c r="HI43" s="1">
        <v>29.42</v>
      </c>
      <c r="HJ43" s="1">
        <v>0</v>
      </c>
      <c r="HK43" s="10">
        <v>0</v>
      </c>
      <c r="HL43" s="1">
        <v>0</v>
      </c>
      <c r="HM43" s="10">
        <v>0</v>
      </c>
      <c r="HN43" s="10">
        <v>0</v>
      </c>
      <c r="HO43" s="10">
        <v>0</v>
      </c>
      <c r="HP43" s="1">
        <v>81.36</v>
      </c>
      <c r="HQ43" s="1">
        <v>61.9</v>
      </c>
      <c r="HR43" s="1">
        <v>0</v>
      </c>
      <c r="HS43" s="1">
        <v>0</v>
      </c>
      <c r="HT43" s="1">
        <v>0</v>
      </c>
      <c r="HU43" s="1">
        <v>54.52</v>
      </c>
      <c r="HV43" s="1">
        <v>0</v>
      </c>
      <c r="HW43" s="1">
        <v>0</v>
      </c>
      <c r="HX43" s="1">
        <v>0</v>
      </c>
      <c r="HY43" s="1">
        <v>0</v>
      </c>
      <c r="HZ43" s="1">
        <v>0</v>
      </c>
      <c r="IA43" s="1">
        <v>0</v>
      </c>
      <c r="IB43" s="1">
        <v>0</v>
      </c>
      <c r="IC43" s="1">
        <v>710.2</v>
      </c>
      <c r="ID43" s="1">
        <v>616.9</v>
      </c>
      <c r="IE43" s="1">
        <v>0</v>
      </c>
      <c r="IF43" s="1">
        <v>0</v>
      </c>
      <c r="IG43" s="1">
        <v>0</v>
      </c>
      <c r="IH43" s="1">
        <v>0</v>
      </c>
      <c r="II43" s="1">
        <v>0</v>
      </c>
      <c r="IJ43" s="1">
        <v>81.040000000000006</v>
      </c>
      <c r="IK43" s="1">
        <v>0</v>
      </c>
      <c r="IL43" s="1">
        <v>0</v>
      </c>
      <c r="IM43" s="1">
        <v>0</v>
      </c>
      <c r="IN43" s="1">
        <v>0</v>
      </c>
      <c r="IO43" s="1">
        <v>0</v>
      </c>
      <c r="IP43" s="1">
        <v>0</v>
      </c>
      <c r="IQ43" s="1">
        <v>0</v>
      </c>
      <c r="IR43" s="1">
        <v>0</v>
      </c>
      <c r="IS43" s="1">
        <v>0</v>
      </c>
      <c r="IT43" s="1">
        <v>0</v>
      </c>
      <c r="IU43" s="1">
        <v>0</v>
      </c>
      <c r="IV43" s="1">
        <v>0</v>
      </c>
      <c r="IW43" s="1">
        <v>0</v>
      </c>
      <c r="IX43" s="1">
        <v>0</v>
      </c>
      <c r="IY43" s="1">
        <v>0</v>
      </c>
      <c r="IZ43" s="1">
        <v>0</v>
      </c>
      <c r="JA43" s="1">
        <v>0</v>
      </c>
      <c r="JB43" s="1">
        <v>87.24</v>
      </c>
      <c r="JC43" s="1">
        <v>71.069999999999993</v>
      </c>
      <c r="JD43" s="1">
        <v>17.05</v>
      </c>
      <c r="JE43" s="1">
        <v>17.899999999999999</v>
      </c>
      <c r="JF43" s="1">
        <v>18.78</v>
      </c>
      <c r="JG43" s="1">
        <v>19.690000000000001</v>
      </c>
      <c r="JH43" s="1">
        <v>20.61</v>
      </c>
      <c r="JI43" s="1">
        <v>21.54</v>
      </c>
      <c r="JJ43" s="1">
        <v>77.23</v>
      </c>
      <c r="JK43" s="1">
        <v>94.94</v>
      </c>
      <c r="JL43" s="1">
        <v>113.37</v>
      </c>
      <c r="JM43" s="1">
        <v>132.43</v>
      </c>
      <c r="JN43" s="1">
        <v>152.02000000000001</v>
      </c>
      <c r="JO43" s="1">
        <v>172.05</v>
      </c>
      <c r="JP43" s="1">
        <v>102.56</v>
      </c>
      <c r="JQ43" s="1">
        <v>87.32</v>
      </c>
      <c r="JR43" s="1">
        <v>78.11</v>
      </c>
      <c r="JS43" s="1">
        <v>72.010000000000005</v>
      </c>
      <c r="JT43" s="1">
        <v>67.400000000000006</v>
      </c>
      <c r="JU43" s="1">
        <v>0</v>
      </c>
      <c r="JV43" s="1">
        <v>0</v>
      </c>
      <c r="JW43" s="1">
        <v>101.81</v>
      </c>
      <c r="JX43" s="1">
        <v>86.57</v>
      </c>
      <c r="JY43" s="1">
        <v>77.36</v>
      </c>
      <c r="JZ43" s="1">
        <v>71.260000000000005</v>
      </c>
      <c r="KA43" s="1">
        <v>66.650000000000006</v>
      </c>
      <c r="KB43" s="1">
        <v>0</v>
      </c>
      <c r="KC43" s="1">
        <v>0</v>
      </c>
    </row>
    <row r="44" spans="1:289" x14ac:dyDescent="0.15">
      <c r="A44" s="8">
        <v>52</v>
      </c>
      <c r="B44" s="1">
        <v>48.49</v>
      </c>
      <c r="C44" s="1">
        <v>106.44</v>
      </c>
      <c r="D44" s="1">
        <v>97.39</v>
      </c>
      <c r="E44" s="1">
        <v>89.99</v>
      </c>
      <c r="F44" s="1">
        <v>83.86</v>
      </c>
      <c r="G44" s="1">
        <v>78.73</v>
      </c>
      <c r="H44" s="1">
        <v>74.41</v>
      </c>
      <c r="I44" s="1">
        <v>70.73</v>
      </c>
      <c r="J44" s="1">
        <v>67.599999999999994</v>
      </c>
      <c r="K44" s="1">
        <v>64.92</v>
      </c>
      <c r="L44" s="1">
        <v>62.63</v>
      </c>
      <c r="M44" s="1">
        <v>60.66</v>
      </c>
      <c r="N44" s="1">
        <v>58.7</v>
      </c>
      <c r="O44" s="1">
        <v>57</v>
      </c>
      <c r="P44" s="1">
        <v>55.51</v>
      </c>
      <c r="Q44" s="10">
        <v>0</v>
      </c>
      <c r="R44" s="10">
        <v>0</v>
      </c>
      <c r="S44" s="1">
        <v>0</v>
      </c>
      <c r="T44" s="1">
        <v>0</v>
      </c>
      <c r="U44" s="10">
        <v>0</v>
      </c>
      <c r="V44" s="10">
        <v>0</v>
      </c>
      <c r="W44" s="10">
        <v>0</v>
      </c>
      <c r="X44" s="10">
        <v>0</v>
      </c>
      <c r="Y44" s="10">
        <v>0</v>
      </c>
      <c r="Z44" s="10">
        <v>0</v>
      </c>
      <c r="AA44" s="10">
        <v>0</v>
      </c>
      <c r="AB44" s="10">
        <v>0</v>
      </c>
      <c r="AC44" s="10">
        <v>0</v>
      </c>
      <c r="AD44" s="10">
        <v>0</v>
      </c>
      <c r="AE44" s="1">
        <v>0</v>
      </c>
      <c r="AF44" s="10">
        <v>0</v>
      </c>
      <c r="AG44" s="10">
        <v>0</v>
      </c>
      <c r="AH44" s="10">
        <v>0</v>
      </c>
      <c r="AI44" s="10">
        <v>0</v>
      </c>
      <c r="AJ44" s="10">
        <v>0</v>
      </c>
      <c r="AK44" s="10">
        <v>0</v>
      </c>
      <c r="AL44" s="10">
        <v>0</v>
      </c>
      <c r="AM44" s="10">
        <v>0</v>
      </c>
      <c r="AN44" s="10">
        <v>0</v>
      </c>
      <c r="AO44" s="10">
        <v>0</v>
      </c>
      <c r="AP44" s="10">
        <v>0</v>
      </c>
      <c r="AQ44" s="10">
        <v>0</v>
      </c>
      <c r="AR44" s="10">
        <v>0</v>
      </c>
      <c r="AS44" s="10">
        <v>0</v>
      </c>
      <c r="AT44" s="10">
        <v>0</v>
      </c>
      <c r="AU44" s="10">
        <v>0</v>
      </c>
      <c r="AV44" s="10">
        <v>0</v>
      </c>
      <c r="AW44" s="1">
        <v>80.2</v>
      </c>
      <c r="AX44" s="1">
        <v>74.2</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0</v>
      </c>
      <c r="BR44" s="1">
        <v>0</v>
      </c>
      <c r="BS44" s="1">
        <v>0</v>
      </c>
      <c r="BT44" s="1">
        <v>0</v>
      </c>
      <c r="BU44" s="1">
        <v>0</v>
      </c>
      <c r="BV44" s="1">
        <v>0</v>
      </c>
      <c r="BW44" s="1">
        <v>130.03</v>
      </c>
      <c r="BX44" s="1">
        <v>102.96</v>
      </c>
      <c r="BY44" s="1">
        <v>0</v>
      </c>
      <c r="BZ44" s="10">
        <v>0</v>
      </c>
      <c r="CA44" s="6">
        <v>131.52000000000001</v>
      </c>
      <c r="CB44" s="6">
        <v>125.4</v>
      </c>
      <c r="CC44" s="6">
        <v>121.08</v>
      </c>
      <c r="CD44" s="6">
        <v>118.21</v>
      </c>
      <c r="CE44" s="6">
        <v>116.49</v>
      </c>
      <c r="CF44" s="6">
        <v>115.75</v>
      </c>
      <c r="CG44" s="6">
        <v>115.83</v>
      </c>
      <c r="CH44" s="1">
        <v>116.61</v>
      </c>
      <c r="CI44" s="1">
        <v>118</v>
      </c>
      <c r="CJ44" s="1">
        <v>0</v>
      </c>
      <c r="CK44" s="10">
        <v>0</v>
      </c>
      <c r="CL44" s="10">
        <v>0</v>
      </c>
      <c r="CM44" s="10">
        <v>0</v>
      </c>
      <c r="CN44" s="1">
        <v>0</v>
      </c>
      <c r="CO44" s="10">
        <v>0</v>
      </c>
      <c r="CP44" s="1">
        <v>105.15</v>
      </c>
      <c r="CQ44" s="5">
        <v>95.83</v>
      </c>
      <c r="CR44" s="5">
        <v>88.15</v>
      </c>
      <c r="CS44" s="1">
        <v>81.73</v>
      </c>
      <c r="CT44" s="1">
        <v>76.290000000000006</v>
      </c>
      <c r="CU44" s="1">
        <v>71.63</v>
      </c>
      <c r="CV44" s="1">
        <v>67.62</v>
      </c>
      <c r="CW44" s="1">
        <v>64.12</v>
      </c>
      <c r="CX44" s="1">
        <v>61.07</v>
      </c>
      <c r="CY44" s="1">
        <v>0</v>
      </c>
      <c r="CZ44" s="1">
        <v>0</v>
      </c>
      <c r="DA44" s="1">
        <v>0</v>
      </c>
      <c r="DB44" s="1">
        <v>0</v>
      </c>
      <c r="DC44" s="1">
        <v>0</v>
      </c>
      <c r="DD44" s="1">
        <v>0</v>
      </c>
      <c r="DE44">
        <v>160.05000000000001</v>
      </c>
      <c r="DF44">
        <v>159.66999999999999</v>
      </c>
      <c r="DG44">
        <v>159.84</v>
      </c>
      <c r="DH44">
        <v>160.46</v>
      </c>
      <c r="DI44" s="1">
        <v>0</v>
      </c>
      <c r="DJ44" s="1">
        <v>0</v>
      </c>
      <c r="DK44" s="10">
        <v>0</v>
      </c>
      <c r="DL44" s="10">
        <v>0</v>
      </c>
      <c r="DM44" s="10">
        <v>0</v>
      </c>
      <c r="DN44" s="10">
        <v>0</v>
      </c>
      <c r="DO44" s="10">
        <v>0</v>
      </c>
      <c r="DP44" s="1">
        <v>20.5</v>
      </c>
      <c r="DQ44" s="1">
        <v>27.2</v>
      </c>
      <c r="DR44" s="10">
        <v>0</v>
      </c>
      <c r="DS44" s="10">
        <v>0</v>
      </c>
      <c r="DT44" s="10">
        <v>0</v>
      </c>
      <c r="DU44" s="1">
        <v>10.99</v>
      </c>
      <c r="DV44" s="1">
        <v>12.32</v>
      </c>
      <c r="DW44" s="1">
        <v>13.72</v>
      </c>
      <c r="DX44" s="1">
        <v>15.2</v>
      </c>
      <c r="DY44" s="10">
        <v>0</v>
      </c>
      <c r="DZ44" s="10">
        <v>0</v>
      </c>
      <c r="EA44" s="1">
        <v>0</v>
      </c>
      <c r="EB44" s="10">
        <v>0</v>
      </c>
      <c r="EC44" s="10">
        <v>0</v>
      </c>
      <c r="ED44" s="10">
        <v>0</v>
      </c>
      <c r="EE44" s="10">
        <v>0</v>
      </c>
      <c r="EF44" s="1">
        <v>0</v>
      </c>
      <c r="EG44" s="10">
        <v>0</v>
      </c>
      <c r="EH44" s="10">
        <v>0</v>
      </c>
      <c r="EI44" s="10">
        <v>0</v>
      </c>
      <c r="EJ44" s="10">
        <v>0</v>
      </c>
      <c r="EK44" s="10">
        <v>0</v>
      </c>
      <c r="EL44" s="10">
        <v>0</v>
      </c>
      <c r="EM44" s="10">
        <v>0</v>
      </c>
      <c r="EN44" s="10">
        <v>0</v>
      </c>
      <c r="EO44" s="10">
        <v>0</v>
      </c>
      <c r="EP44" s="10">
        <v>0</v>
      </c>
      <c r="EQ44" s="10">
        <v>0</v>
      </c>
      <c r="ER44" s="10">
        <v>0</v>
      </c>
      <c r="ES44" s="10">
        <v>0</v>
      </c>
      <c r="ET44" s="10">
        <v>0</v>
      </c>
      <c r="EU44" s="10">
        <v>0</v>
      </c>
      <c r="EV44" s="10">
        <v>0</v>
      </c>
      <c r="EW44" s="10">
        <v>0</v>
      </c>
      <c r="EX44" s="10">
        <v>0</v>
      </c>
      <c r="EY44" s="10">
        <v>0</v>
      </c>
      <c r="EZ44" s="10">
        <v>0</v>
      </c>
      <c r="FA44" s="10">
        <v>0</v>
      </c>
      <c r="FB44" s="10">
        <v>0</v>
      </c>
      <c r="FC44" s="10">
        <v>0</v>
      </c>
      <c r="FD44" s="10">
        <v>0</v>
      </c>
      <c r="FE44" s="1">
        <v>22.09</v>
      </c>
      <c r="FF44" s="1">
        <v>23.08</v>
      </c>
      <c r="FG44" s="1">
        <v>24.07</v>
      </c>
      <c r="FH44" s="1">
        <v>25.07</v>
      </c>
      <c r="FI44" s="1">
        <v>26.06</v>
      </c>
      <c r="FJ44" s="1">
        <v>27.05</v>
      </c>
      <c r="FK44" s="1">
        <v>28.04</v>
      </c>
      <c r="FL44" s="1">
        <v>29.03</v>
      </c>
      <c r="FM44" s="1">
        <v>30.03</v>
      </c>
      <c r="FN44" s="1">
        <v>0</v>
      </c>
      <c r="FO44" s="1">
        <v>0</v>
      </c>
      <c r="FP44" s="10">
        <v>0</v>
      </c>
      <c r="FQ44" s="10">
        <v>0</v>
      </c>
      <c r="FR44" s="10">
        <v>0</v>
      </c>
      <c r="FS44" s="10">
        <v>0</v>
      </c>
      <c r="FT44" s="10">
        <v>0</v>
      </c>
      <c r="FU44" s="1">
        <v>0</v>
      </c>
      <c r="FV44" s="1">
        <v>0</v>
      </c>
      <c r="FW44" s="1">
        <v>0</v>
      </c>
      <c r="FX44" s="1">
        <v>0</v>
      </c>
      <c r="FY44" s="1">
        <v>0</v>
      </c>
      <c r="FZ44" s="10">
        <v>0</v>
      </c>
      <c r="GA44" s="1">
        <v>0</v>
      </c>
      <c r="GB44" s="1">
        <v>0</v>
      </c>
      <c r="GC44" s="10">
        <v>0</v>
      </c>
      <c r="GD44" s="1">
        <v>0</v>
      </c>
      <c r="GE44" s="10">
        <v>0</v>
      </c>
      <c r="GF44" s="10">
        <v>0</v>
      </c>
      <c r="GG44" s="1">
        <v>0</v>
      </c>
      <c r="GH44" s="1">
        <v>0</v>
      </c>
      <c r="GI44" s="10">
        <v>0</v>
      </c>
      <c r="GJ44" s="10">
        <v>0</v>
      </c>
      <c r="GK44" s="1">
        <v>0</v>
      </c>
      <c r="GL44" s="10">
        <v>0</v>
      </c>
      <c r="GM44" s="1">
        <v>0</v>
      </c>
      <c r="GN44" s="1">
        <v>0</v>
      </c>
      <c r="GO44" s="10">
        <v>0</v>
      </c>
      <c r="GP44" s="1">
        <v>0</v>
      </c>
      <c r="GQ44" s="1">
        <v>0</v>
      </c>
      <c r="GR44" s="1">
        <v>0</v>
      </c>
      <c r="GS44" s="1">
        <v>0</v>
      </c>
      <c r="GT44" s="10">
        <v>0</v>
      </c>
      <c r="GU44" s="1">
        <v>0</v>
      </c>
      <c r="GV44" s="1">
        <v>0</v>
      </c>
      <c r="GW44" s="1">
        <v>0</v>
      </c>
      <c r="GX44" s="1">
        <v>0</v>
      </c>
      <c r="GY44" s="10">
        <v>0</v>
      </c>
      <c r="GZ44" s="1">
        <v>12.25</v>
      </c>
      <c r="HA44" s="1">
        <v>14.02</v>
      </c>
      <c r="HB44" s="1">
        <v>15.89</v>
      </c>
      <c r="HC44" s="1">
        <v>17.86</v>
      </c>
      <c r="HD44" s="1">
        <v>19.93</v>
      </c>
      <c r="HE44" s="1">
        <v>22.11</v>
      </c>
      <c r="HF44" s="1">
        <v>24.37</v>
      </c>
      <c r="HG44" s="1">
        <v>26.73</v>
      </c>
      <c r="HH44" s="1">
        <v>29.16</v>
      </c>
      <c r="HI44" s="1">
        <v>0</v>
      </c>
      <c r="HJ44" s="10">
        <v>0</v>
      </c>
      <c r="HK44" s="1">
        <v>0</v>
      </c>
      <c r="HL44" s="10">
        <v>0</v>
      </c>
      <c r="HM44" s="10">
        <v>0</v>
      </c>
      <c r="HN44" s="10">
        <v>0</v>
      </c>
      <c r="HO44" s="10">
        <v>0</v>
      </c>
      <c r="HP44" s="1">
        <v>83.51</v>
      </c>
      <c r="HQ44">
        <v>63.79</v>
      </c>
      <c r="HR44" s="1">
        <v>0</v>
      </c>
      <c r="HS44" s="1">
        <v>0</v>
      </c>
      <c r="HT44" s="1">
        <v>0</v>
      </c>
      <c r="HU44" s="1">
        <v>57.83</v>
      </c>
      <c r="HV44" s="1">
        <v>0</v>
      </c>
      <c r="HW44" s="1">
        <v>0</v>
      </c>
      <c r="HX44" s="1">
        <v>0</v>
      </c>
      <c r="HY44" s="1">
        <v>0</v>
      </c>
      <c r="HZ44" s="1">
        <v>0</v>
      </c>
      <c r="IA44" s="1">
        <v>0</v>
      </c>
      <c r="IB44" s="1">
        <v>0</v>
      </c>
      <c r="IC44" s="1">
        <v>710.2</v>
      </c>
      <c r="ID44" s="1">
        <v>616.9</v>
      </c>
      <c r="IE44" s="1">
        <v>0</v>
      </c>
      <c r="IF44" s="1">
        <v>0</v>
      </c>
      <c r="IG44" s="1">
        <v>0</v>
      </c>
      <c r="IH44" s="1">
        <v>0</v>
      </c>
      <c r="II44" s="1">
        <v>0</v>
      </c>
      <c r="IJ44" s="1">
        <v>82.7</v>
      </c>
      <c r="IK44" s="1">
        <v>0</v>
      </c>
      <c r="IL44" s="1">
        <v>0</v>
      </c>
      <c r="IM44" s="1">
        <v>0</v>
      </c>
      <c r="IN44" s="1">
        <v>0</v>
      </c>
      <c r="IO44" s="1">
        <v>0</v>
      </c>
      <c r="IP44" s="1">
        <v>0</v>
      </c>
      <c r="IQ44" s="1">
        <v>0</v>
      </c>
      <c r="IR44" s="1">
        <v>0</v>
      </c>
      <c r="IS44" s="1">
        <v>0</v>
      </c>
      <c r="IT44" s="1">
        <v>0</v>
      </c>
      <c r="IU44" s="1">
        <v>0</v>
      </c>
      <c r="IV44" s="1">
        <v>0</v>
      </c>
      <c r="IW44" s="1">
        <v>0</v>
      </c>
      <c r="IX44" s="1">
        <v>0</v>
      </c>
      <c r="IY44" s="1">
        <v>0</v>
      </c>
      <c r="IZ44" s="1">
        <v>0</v>
      </c>
      <c r="JA44" s="1">
        <v>0</v>
      </c>
      <c r="JB44" s="1">
        <v>88.37</v>
      </c>
      <c r="JC44" s="1">
        <v>72.510000000000005</v>
      </c>
      <c r="JD44" s="1">
        <v>18.8</v>
      </c>
      <c r="JE44" s="1">
        <v>19.73</v>
      </c>
      <c r="JF44" s="1">
        <v>20.68</v>
      </c>
      <c r="JG44" s="1">
        <v>21.64</v>
      </c>
      <c r="JH44" s="1">
        <v>22.61</v>
      </c>
      <c r="JI44" s="1">
        <v>23.59</v>
      </c>
      <c r="JJ44" s="1">
        <v>84.95</v>
      </c>
      <c r="JK44" s="1">
        <v>104.29</v>
      </c>
      <c r="JL44" s="1">
        <v>124.29</v>
      </c>
      <c r="JM44" s="1">
        <v>144.85</v>
      </c>
      <c r="JN44" s="1">
        <v>165.87</v>
      </c>
      <c r="JO44" s="1">
        <v>187.25</v>
      </c>
      <c r="JP44" s="1">
        <v>103.88</v>
      </c>
      <c r="JQ44" s="1">
        <v>88.78</v>
      </c>
      <c r="JR44" s="1">
        <v>79.7</v>
      </c>
      <c r="JS44" s="1">
        <v>73.72</v>
      </c>
      <c r="JT44" s="1">
        <v>0</v>
      </c>
      <c r="JU44" s="1">
        <v>0</v>
      </c>
      <c r="JV44" s="1">
        <v>0</v>
      </c>
      <c r="JW44" s="1">
        <v>103.13</v>
      </c>
      <c r="JX44" s="1">
        <v>88.03</v>
      </c>
      <c r="JY44" s="1">
        <v>78.95</v>
      </c>
      <c r="JZ44" s="1">
        <v>72.97</v>
      </c>
      <c r="KA44" s="1">
        <v>0</v>
      </c>
      <c r="KB44" s="1">
        <v>0</v>
      </c>
      <c r="KC44" s="1">
        <v>0</v>
      </c>
    </row>
    <row r="45" spans="1:289" x14ac:dyDescent="0.15">
      <c r="A45" s="8">
        <v>53</v>
      </c>
      <c r="B45" s="1">
        <v>50.75</v>
      </c>
      <c r="C45" s="1">
        <v>107.39</v>
      </c>
      <c r="D45" s="1">
        <v>98.39</v>
      </c>
      <c r="E45" s="1">
        <v>91.04</v>
      </c>
      <c r="F45" s="1">
        <v>84.95</v>
      </c>
      <c r="G45" s="1">
        <v>79.87</v>
      </c>
      <c r="H45" s="1">
        <v>75.59</v>
      </c>
      <c r="I45" s="1">
        <v>71.959999999999994</v>
      </c>
      <c r="J45" s="1">
        <v>68.88</v>
      </c>
      <c r="K45" s="1">
        <v>66.25</v>
      </c>
      <c r="L45" s="1">
        <v>64</v>
      </c>
      <c r="M45" s="1">
        <v>62.09</v>
      </c>
      <c r="N45" s="1">
        <v>60.18</v>
      </c>
      <c r="O45" s="1">
        <v>58.52</v>
      </c>
      <c r="P45" s="10">
        <v>0</v>
      </c>
      <c r="Q45" s="10">
        <v>0</v>
      </c>
      <c r="R45" s="1">
        <v>0</v>
      </c>
      <c r="S45" s="10">
        <v>0</v>
      </c>
      <c r="T45" s="10">
        <v>0</v>
      </c>
      <c r="U45" s="10">
        <v>0</v>
      </c>
      <c r="V45" s="10">
        <v>0</v>
      </c>
      <c r="W45" s="10">
        <v>0</v>
      </c>
      <c r="X45" s="10">
        <v>0</v>
      </c>
      <c r="Y45" s="10">
        <v>0</v>
      </c>
      <c r="Z45" s="10">
        <v>0</v>
      </c>
      <c r="AA45" s="10">
        <v>0</v>
      </c>
      <c r="AB45" s="10">
        <v>0</v>
      </c>
      <c r="AC45" s="10">
        <v>0</v>
      </c>
      <c r="AD45" s="1">
        <v>0</v>
      </c>
      <c r="AE45" s="10">
        <v>0</v>
      </c>
      <c r="AF45" s="1">
        <v>0</v>
      </c>
      <c r="AG45" s="10">
        <v>0</v>
      </c>
      <c r="AH45" s="10">
        <v>0</v>
      </c>
      <c r="AI45" s="10">
        <v>0</v>
      </c>
      <c r="AJ45" s="10">
        <v>0</v>
      </c>
      <c r="AK45" s="10">
        <v>0</v>
      </c>
      <c r="AL45" s="10">
        <v>0</v>
      </c>
      <c r="AM45" s="10">
        <v>0</v>
      </c>
      <c r="AN45" s="10">
        <v>0</v>
      </c>
      <c r="AO45" s="10">
        <v>0</v>
      </c>
      <c r="AP45" s="10">
        <v>0</v>
      </c>
      <c r="AQ45" s="10">
        <v>0</v>
      </c>
      <c r="AR45" s="10">
        <v>0</v>
      </c>
      <c r="AS45" s="10">
        <v>0</v>
      </c>
      <c r="AT45" s="10">
        <v>0</v>
      </c>
      <c r="AU45" s="10">
        <v>0</v>
      </c>
      <c r="AV45" s="10">
        <v>0</v>
      </c>
      <c r="AW45" s="1">
        <v>81.99</v>
      </c>
      <c r="AX45" s="1">
        <v>76.11</v>
      </c>
      <c r="AY45" s="1">
        <v>0</v>
      </c>
      <c r="AZ45" s="1">
        <v>0</v>
      </c>
      <c r="BA45" s="1">
        <v>0</v>
      </c>
      <c r="BB45" s="1">
        <v>0</v>
      </c>
      <c r="BC45" s="1">
        <v>0</v>
      </c>
      <c r="BD45" s="1">
        <v>0</v>
      </c>
      <c r="BE45" s="1">
        <v>0</v>
      </c>
      <c r="BF45" s="1">
        <v>0</v>
      </c>
      <c r="BG45" s="1">
        <v>0</v>
      </c>
      <c r="BH45" s="1">
        <v>0</v>
      </c>
      <c r="BI45" s="1">
        <v>0</v>
      </c>
      <c r="BJ45" s="1">
        <v>0</v>
      </c>
      <c r="BK45" s="1">
        <v>0</v>
      </c>
      <c r="BL45" s="1">
        <v>0</v>
      </c>
      <c r="BM45" s="1">
        <v>0</v>
      </c>
      <c r="BN45" s="1">
        <v>0</v>
      </c>
      <c r="BO45" s="1">
        <v>0</v>
      </c>
      <c r="BP45" s="1">
        <v>0</v>
      </c>
      <c r="BQ45" s="1">
        <v>0</v>
      </c>
      <c r="BR45" s="1">
        <v>0</v>
      </c>
      <c r="BS45" s="1">
        <v>0</v>
      </c>
      <c r="BT45" s="10">
        <v>0</v>
      </c>
      <c r="BU45" s="10">
        <v>0</v>
      </c>
      <c r="BV45" s="1">
        <v>0</v>
      </c>
      <c r="BW45" s="1">
        <v>133.18</v>
      </c>
      <c r="BX45" s="1">
        <v>106.57</v>
      </c>
      <c r="BY45" s="1">
        <v>0</v>
      </c>
      <c r="BZ45" s="10">
        <v>0</v>
      </c>
      <c r="CA45" s="6">
        <v>134.9</v>
      </c>
      <c r="CB45" s="6">
        <v>129.13</v>
      </c>
      <c r="CC45" s="6">
        <v>125.18</v>
      </c>
      <c r="CD45" s="6">
        <v>122.69</v>
      </c>
      <c r="CE45" s="6">
        <v>121.73</v>
      </c>
      <c r="CF45" s="6">
        <v>121.03</v>
      </c>
      <c r="CG45" s="6">
        <v>121.51</v>
      </c>
      <c r="CH45" s="1">
        <v>122.71</v>
      </c>
      <c r="CI45" s="1">
        <v>0</v>
      </c>
      <c r="CJ45" s="10">
        <v>0</v>
      </c>
      <c r="CK45" s="10">
        <v>0</v>
      </c>
      <c r="CL45" s="10">
        <v>0</v>
      </c>
      <c r="CM45" s="1">
        <v>0</v>
      </c>
      <c r="CN45" s="10">
        <v>0</v>
      </c>
      <c r="CO45" s="1">
        <v>0</v>
      </c>
      <c r="CP45" s="1">
        <v>105.88</v>
      </c>
      <c r="CQ45" s="5">
        <v>96.58</v>
      </c>
      <c r="CR45" s="5">
        <v>88.92</v>
      </c>
      <c r="CS45" s="1">
        <v>82.51</v>
      </c>
      <c r="CT45" s="1">
        <v>77.08</v>
      </c>
      <c r="CU45" s="1">
        <v>72.44</v>
      </c>
      <c r="CV45" s="1">
        <v>68.44</v>
      </c>
      <c r="CW45" s="1">
        <v>64.959999999999994</v>
      </c>
      <c r="CX45" s="1">
        <v>0</v>
      </c>
      <c r="CY45" s="1">
        <v>0</v>
      </c>
      <c r="CZ45" s="1">
        <v>0</v>
      </c>
      <c r="DA45" s="1">
        <v>0</v>
      </c>
      <c r="DB45" s="1">
        <v>0</v>
      </c>
      <c r="DC45" s="1">
        <v>0</v>
      </c>
      <c r="DD45" s="1">
        <v>0</v>
      </c>
      <c r="DE45">
        <v>169.36</v>
      </c>
      <c r="DF45">
        <v>169.19</v>
      </c>
      <c r="DG45">
        <v>169.55</v>
      </c>
      <c r="DH45" s="1">
        <v>0</v>
      </c>
      <c r="DI45" s="1">
        <v>0</v>
      </c>
      <c r="DJ45" s="10">
        <v>0</v>
      </c>
      <c r="DK45" s="10">
        <v>0</v>
      </c>
      <c r="DL45" s="10">
        <v>0</v>
      </c>
      <c r="DM45" s="10">
        <v>0</v>
      </c>
      <c r="DN45" s="10">
        <v>0</v>
      </c>
      <c r="DO45" s="10">
        <v>0</v>
      </c>
      <c r="DP45" s="1">
        <v>23</v>
      </c>
      <c r="DQ45" s="1">
        <v>30.25</v>
      </c>
      <c r="DR45" s="10">
        <v>0</v>
      </c>
      <c r="DS45" s="1">
        <v>0</v>
      </c>
      <c r="DT45" s="10">
        <v>0</v>
      </c>
      <c r="DU45" s="1">
        <v>12.09</v>
      </c>
      <c r="DV45" s="1">
        <v>13.56</v>
      </c>
      <c r="DW45" s="1">
        <v>15.11</v>
      </c>
      <c r="DX45" s="10">
        <v>0</v>
      </c>
      <c r="DY45" s="10">
        <v>0</v>
      </c>
      <c r="DZ45" s="1">
        <v>0</v>
      </c>
      <c r="EA45" s="10">
        <v>0</v>
      </c>
      <c r="EB45" s="10">
        <v>0</v>
      </c>
      <c r="EC45" s="10">
        <v>0</v>
      </c>
      <c r="ED45" s="10">
        <v>0</v>
      </c>
      <c r="EE45" s="1">
        <v>0</v>
      </c>
      <c r="EF45" s="10">
        <v>0</v>
      </c>
      <c r="EG45" s="1">
        <v>0</v>
      </c>
      <c r="EH45" s="1">
        <v>0</v>
      </c>
      <c r="EI45" s="1">
        <v>0</v>
      </c>
      <c r="EJ45" s="1">
        <v>0</v>
      </c>
      <c r="EK45" s="1">
        <v>0</v>
      </c>
      <c r="EL45" s="1">
        <v>0</v>
      </c>
      <c r="EM45" s="1">
        <v>0</v>
      </c>
      <c r="EN45" s="1">
        <v>0</v>
      </c>
      <c r="EO45" s="1">
        <v>0</v>
      </c>
      <c r="EP45" s="1">
        <v>0</v>
      </c>
      <c r="EQ45" s="1">
        <v>0</v>
      </c>
      <c r="ER45" s="1">
        <v>0</v>
      </c>
      <c r="ES45" s="1">
        <v>0</v>
      </c>
      <c r="ET45" s="1">
        <v>0</v>
      </c>
      <c r="EU45" s="1">
        <v>0</v>
      </c>
      <c r="EV45" s="1">
        <v>0</v>
      </c>
      <c r="EW45" s="1">
        <v>0</v>
      </c>
      <c r="EX45" s="1">
        <v>0</v>
      </c>
      <c r="EY45" s="1">
        <v>0</v>
      </c>
      <c r="EZ45" s="1">
        <v>0</v>
      </c>
      <c r="FA45" s="1">
        <v>0</v>
      </c>
      <c r="FB45" s="1">
        <v>0</v>
      </c>
      <c r="FC45" s="1">
        <v>0</v>
      </c>
      <c r="FD45" s="1">
        <v>0</v>
      </c>
      <c r="FE45" s="1">
        <v>24.29</v>
      </c>
      <c r="FF45" s="1">
        <v>25.33</v>
      </c>
      <c r="FG45" s="1">
        <v>26.37</v>
      </c>
      <c r="FH45" s="1">
        <v>27.4</v>
      </c>
      <c r="FI45" s="1">
        <v>28.44</v>
      </c>
      <c r="FJ45" s="1">
        <v>29.48</v>
      </c>
      <c r="FK45" s="1">
        <v>30.52</v>
      </c>
      <c r="FL45" s="1">
        <v>31.55</v>
      </c>
      <c r="FM45" s="1">
        <v>0</v>
      </c>
      <c r="FN45" s="1">
        <v>0</v>
      </c>
      <c r="FO45" s="10">
        <v>0</v>
      </c>
      <c r="FP45" s="10">
        <v>0</v>
      </c>
      <c r="FQ45" s="10">
        <v>0</v>
      </c>
      <c r="FR45" s="10">
        <v>0</v>
      </c>
      <c r="FS45" s="10">
        <v>0</v>
      </c>
      <c r="FT45" s="10">
        <v>0</v>
      </c>
      <c r="FU45" s="10">
        <v>0</v>
      </c>
      <c r="FV45" s="1">
        <v>0</v>
      </c>
      <c r="FW45" s="1">
        <v>0</v>
      </c>
      <c r="FX45" s="1">
        <v>0</v>
      </c>
      <c r="FY45" s="1">
        <v>0</v>
      </c>
      <c r="FZ45" s="10">
        <v>0</v>
      </c>
      <c r="GA45" s="1">
        <v>0</v>
      </c>
      <c r="GB45" s="1">
        <v>0</v>
      </c>
      <c r="GC45" s="1">
        <v>0</v>
      </c>
      <c r="GD45" s="1">
        <v>0</v>
      </c>
      <c r="GE45" s="1">
        <v>0</v>
      </c>
      <c r="GF45" s="1">
        <v>0</v>
      </c>
      <c r="GG45" s="1">
        <v>0</v>
      </c>
      <c r="GH45" s="1">
        <v>0</v>
      </c>
      <c r="GI45" s="1">
        <v>0</v>
      </c>
      <c r="GJ45" s="1">
        <v>0</v>
      </c>
      <c r="GK45" s="1">
        <v>0</v>
      </c>
      <c r="GL45" s="1">
        <v>0</v>
      </c>
      <c r="GM45" s="1">
        <v>0</v>
      </c>
      <c r="GN45" s="1">
        <v>0</v>
      </c>
      <c r="GO45" s="1">
        <v>0</v>
      </c>
      <c r="GP45" s="1">
        <v>0</v>
      </c>
      <c r="GQ45" s="1">
        <v>0</v>
      </c>
      <c r="GR45" s="1">
        <v>0</v>
      </c>
      <c r="GS45" s="1">
        <v>0</v>
      </c>
      <c r="GT45" s="1">
        <v>0</v>
      </c>
      <c r="GU45" s="1">
        <v>0</v>
      </c>
      <c r="GV45" s="1">
        <v>0</v>
      </c>
      <c r="GW45" s="1">
        <v>0</v>
      </c>
      <c r="GX45" s="1">
        <v>0</v>
      </c>
      <c r="GY45" s="1">
        <v>0</v>
      </c>
      <c r="GZ45" s="1">
        <v>13.44</v>
      </c>
      <c r="HA45" s="1">
        <v>15.33</v>
      </c>
      <c r="HB45" s="1">
        <v>17.329999999999998</v>
      </c>
      <c r="HC45" s="1">
        <v>19.43</v>
      </c>
      <c r="HD45" s="1">
        <v>21.63</v>
      </c>
      <c r="HE45" s="1">
        <v>23.94</v>
      </c>
      <c r="HF45" s="1">
        <v>26.34</v>
      </c>
      <c r="HG45" s="1">
        <v>28.82</v>
      </c>
      <c r="HH45" s="1">
        <v>0</v>
      </c>
      <c r="HI45" s="10">
        <v>0</v>
      </c>
      <c r="HJ45" s="1">
        <v>0</v>
      </c>
      <c r="HK45" s="10">
        <v>0</v>
      </c>
      <c r="HL45" s="10">
        <v>0</v>
      </c>
      <c r="HM45" s="10">
        <v>0</v>
      </c>
      <c r="HN45" s="10">
        <v>0</v>
      </c>
      <c r="HO45" s="10">
        <v>0</v>
      </c>
      <c r="HP45" s="1">
        <v>85.72</v>
      </c>
      <c r="HQ45">
        <v>65.75</v>
      </c>
      <c r="HR45" s="1">
        <v>0</v>
      </c>
      <c r="HS45" s="1">
        <v>0</v>
      </c>
      <c r="HT45" s="1">
        <v>0</v>
      </c>
      <c r="HU45" s="1">
        <v>61.46</v>
      </c>
      <c r="HV45" s="1">
        <v>0</v>
      </c>
      <c r="HW45" s="1">
        <v>0</v>
      </c>
      <c r="HX45" s="1">
        <v>0</v>
      </c>
      <c r="HY45" s="1">
        <v>0</v>
      </c>
      <c r="HZ45" s="1">
        <v>0</v>
      </c>
      <c r="IA45" s="1">
        <v>0</v>
      </c>
      <c r="IB45" s="1">
        <v>0</v>
      </c>
      <c r="IC45" s="1">
        <v>721.7</v>
      </c>
      <c r="ID45" s="1">
        <v>640.20000000000005</v>
      </c>
      <c r="IE45" s="1">
        <v>0</v>
      </c>
      <c r="IF45" s="1">
        <v>0</v>
      </c>
      <c r="IG45" s="1">
        <v>0</v>
      </c>
      <c r="IH45" s="1">
        <v>0</v>
      </c>
      <c r="II45" s="1">
        <v>0</v>
      </c>
      <c r="IJ45" s="1">
        <v>0</v>
      </c>
      <c r="IK45" s="1">
        <v>0</v>
      </c>
      <c r="IL45" s="1">
        <v>0</v>
      </c>
      <c r="IM45" s="1">
        <v>0</v>
      </c>
      <c r="IN45" s="1">
        <v>0</v>
      </c>
      <c r="IO45" s="1">
        <v>0</v>
      </c>
      <c r="IP45" s="1">
        <v>0</v>
      </c>
      <c r="IQ45" s="1">
        <v>0</v>
      </c>
      <c r="IR45" s="1">
        <v>0</v>
      </c>
      <c r="IS45" s="1">
        <v>0</v>
      </c>
      <c r="IT45" s="1">
        <v>0</v>
      </c>
      <c r="IU45" s="1">
        <v>0</v>
      </c>
      <c r="IV45" s="1">
        <v>0</v>
      </c>
      <c r="IW45" s="1">
        <v>0</v>
      </c>
      <c r="IX45" s="1">
        <v>0</v>
      </c>
      <c r="IY45" s="1">
        <v>0</v>
      </c>
      <c r="IZ45" s="1">
        <v>0</v>
      </c>
      <c r="JA45" s="1">
        <v>0</v>
      </c>
      <c r="JB45" s="1">
        <v>89.61</v>
      </c>
      <c r="JC45" s="1">
        <v>73.95</v>
      </c>
      <c r="JD45" s="1">
        <v>20.73</v>
      </c>
      <c r="JE45" s="1">
        <v>21.72</v>
      </c>
      <c r="JF45" s="1">
        <v>22.73</v>
      </c>
      <c r="JG45" s="1">
        <v>23.74</v>
      </c>
      <c r="JH45" s="1">
        <v>24.76</v>
      </c>
      <c r="JI45" s="1">
        <v>25.79</v>
      </c>
      <c r="JJ45" s="1">
        <v>93.38</v>
      </c>
      <c r="JK45" s="1">
        <v>114.4</v>
      </c>
      <c r="JL45" s="1">
        <v>136</v>
      </c>
      <c r="JM45" s="1">
        <v>158.09</v>
      </c>
      <c r="JN45" s="1">
        <v>180.55</v>
      </c>
      <c r="JO45" s="1">
        <v>203.3</v>
      </c>
      <c r="JP45" s="1">
        <v>105.31</v>
      </c>
      <c r="JQ45" s="1">
        <v>90.33</v>
      </c>
      <c r="JR45" s="1">
        <v>81.39</v>
      </c>
      <c r="JS45" s="1">
        <v>75.55</v>
      </c>
      <c r="JT45" s="1">
        <v>0</v>
      </c>
      <c r="JU45" s="1">
        <v>0</v>
      </c>
      <c r="JV45" s="1">
        <v>0</v>
      </c>
      <c r="JW45" s="1">
        <v>104.56</v>
      </c>
      <c r="JX45" s="1">
        <v>89.58</v>
      </c>
      <c r="JY45" s="1">
        <v>80.64</v>
      </c>
      <c r="JZ45" s="1">
        <v>74.8</v>
      </c>
      <c r="KA45" s="1">
        <v>0</v>
      </c>
      <c r="KB45" s="1">
        <v>0</v>
      </c>
      <c r="KC45" s="1">
        <v>0</v>
      </c>
    </row>
    <row r="46" spans="1:289" x14ac:dyDescent="0.15">
      <c r="A46" s="8">
        <v>54</v>
      </c>
      <c r="B46" s="1">
        <v>53.14</v>
      </c>
      <c r="C46" s="1">
        <v>108.43</v>
      </c>
      <c r="D46" s="1">
        <v>99.47</v>
      </c>
      <c r="E46" s="1">
        <v>92.17</v>
      </c>
      <c r="F46" s="1">
        <v>86.13</v>
      </c>
      <c r="G46" s="1">
        <v>81.09</v>
      </c>
      <c r="H46" s="1">
        <v>76.86</v>
      </c>
      <c r="I46" s="1">
        <v>73.28</v>
      </c>
      <c r="J46" s="1">
        <v>70.25</v>
      </c>
      <c r="K46" s="1">
        <v>67.680000000000007</v>
      </c>
      <c r="L46" s="1">
        <v>65.48</v>
      </c>
      <c r="M46" s="1">
        <v>63.62</v>
      </c>
      <c r="N46" s="1">
        <v>61.77</v>
      </c>
      <c r="O46" s="10">
        <v>0</v>
      </c>
      <c r="P46" s="10">
        <v>0</v>
      </c>
      <c r="Q46" s="1">
        <v>0</v>
      </c>
      <c r="R46" s="10">
        <v>0</v>
      </c>
      <c r="S46" s="10">
        <v>0</v>
      </c>
      <c r="T46" s="10">
        <v>0</v>
      </c>
      <c r="U46" s="10">
        <v>0</v>
      </c>
      <c r="V46" s="10">
        <v>0</v>
      </c>
      <c r="W46" s="10">
        <v>0</v>
      </c>
      <c r="X46" s="10">
        <v>0</v>
      </c>
      <c r="Y46" s="10">
        <v>0</v>
      </c>
      <c r="Z46" s="10">
        <v>0</v>
      </c>
      <c r="AA46" s="1">
        <v>0</v>
      </c>
      <c r="AB46" s="1">
        <v>0</v>
      </c>
      <c r="AC46" s="1">
        <v>0</v>
      </c>
      <c r="AD46" s="10">
        <v>0</v>
      </c>
      <c r="AE46" s="1">
        <v>0</v>
      </c>
      <c r="AF46" s="10">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1">
        <v>83.89</v>
      </c>
      <c r="AX46" s="1">
        <v>78.13</v>
      </c>
      <c r="AY46" s="1">
        <v>0</v>
      </c>
      <c r="AZ46" s="1">
        <v>0</v>
      </c>
      <c r="BA46" s="1">
        <v>0</v>
      </c>
      <c r="BB46" s="1">
        <v>0</v>
      </c>
      <c r="BC46" s="1">
        <v>0</v>
      </c>
      <c r="BD46" s="1">
        <v>0</v>
      </c>
      <c r="BE46" s="1">
        <v>0</v>
      </c>
      <c r="BF46" s="1">
        <v>0</v>
      </c>
      <c r="BG46" s="1">
        <v>0</v>
      </c>
      <c r="BH46" s="1">
        <v>0</v>
      </c>
      <c r="BI46" s="1">
        <v>0</v>
      </c>
      <c r="BJ46" s="1">
        <v>0</v>
      </c>
      <c r="BK46" s="1">
        <v>0</v>
      </c>
      <c r="BL46" s="1">
        <v>0</v>
      </c>
      <c r="BM46" s="1">
        <v>0</v>
      </c>
      <c r="BN46" s="1">
        <v>0</v>
      </c>
      <c r="BO46" s="1">
        <v>0</v>
      </c>
      <c r="BP46" s="1">
        <v>0</v>
      </c>
      <c r="BQ46" s="1">
        <v>0</v>
      </c>
      <c r="BR46" s="1">
        <v>0</v>
      </c>
      <c r="BS46" s="1">
        <v>0</v>
      </c>
      <c r="BT46" s="10">
        <v>0</v>
      </c>
      <c r="BU46" s="10">
        <v>0</v>
      </c>
      <c r="BV46" s="1">
        <v>0</v>
      </c>
      <c r="BW46" s="1">
        <v>136.57</v>
      </c>
      <c r="BX46" s="1">
        <v>110.44</v>
      </c>
      <c r="BY46" s="1">
        <v>0</v>
      </c>
      <c r="BZ46" s="10">
        <v>0</v>
      </c>
      <c r="CA46" s="6">
        <v>138.55000000000001</v>
      </c>
      <c r="CB46" s="6">
        <v>133.18</v>
      </c>
      <c r="CC46" s="6">
        <v>129.62</v>
      </c>
      <c r="CD46" s="6">
        <v>127.53</v>
      </c>
      <c r="CE46" s="6">
        <v>126.63</v>
      </c>
      <c r="CF46" s="6">
        <v>126.71</v>
      </c>
      <c r="CG46" s="6">
        <v>127.64</v>
      </c>
      <c r="CH46" s="1">
        <v>0</v>
      </c>
      <c r="CI46" s="10">
        <v>0</v>
      </c>
      <c r="CJ46" s="10">
        <v>0</v>
      </c>
      <c r="CK46" s="10">
        <v>0</v>
      </c>
      <c r="CL46" s="1">
        <v>0</v>
      </c>
      <c r="CM46" s="10">
        <v>0</v>
      </c>
      <c r="CN46" s="1">
        <v>0</v>
      </c>
      <c r="CO46" s="1">
        <v>0</v>
      </c>
      <c r="CP46" s="1">
        <v>106.67</v>
      </c>
      <c r="CQ46" s="5">
        <v>97.39</v>
      </c>
      <c r="CR46" s="5">
        <v>89.75</v>
      </c>
      <c r="CS46" s="1">
        <v>83.35</v>
      </c>
      <c r="CT46" s="1">
        <v>77.94</v>
      </c>
      <c r="CU46" s="1">
        <v>73.319999999999993</v>
      </c>
      <c r="CV46" s="1">
        <v>69.33</v>
      </c>
      <c r="CW46" s="1">
        <v>0</v>
      </c>
      <c r="CX46" s="1">
        <v>0</v>
      </c>
      <c r="CY46" s="1">
        <v>0</v>
      </c>
      <c r="CZ46" s="1">
        <v>0</v>
      </c>
      <c r="DA46" s="1">
        <v>0</v>
      </c>
      <c r="DB46" s="1">
        <v>0</v>
      </c>
      <c r="DC46" s="1">
        <v>0</v>
      </c>
      <c r="DD46" s="1">
        <v>0</v>
      </c>
      <c r="DE46">
        <v>179.28</v>
      </c>
      <c r="DF46">
        <v>179.33</v>
      </c>
      <c r="DG46" s="1">
        <v>0</v>
      </c>
      <c r="DH46" s="1">
        <v>0</v>
      </c>
      <c r="DI46" s="10">
        <v>0</v>
      </c>
      <c r="DJ46" s="10">
        <v>0</v>
      </c>
      <c r="DK46" s="10">
        <v>0</v>
      </c>
      <c r="DL46" s="1">
        <v>0</v>
      </c>
      <c r="DM46" s="1">
        <v>0</v>
      </c>
      <c r="DN46" s="1">
        <v>0</v>
      </c>
      <c r="DO46" s="1">
        <v>0</v>
      </c>
      <c r="DP46" s="1">
        <v>25.7</v>
      </c>
      <c r="DQ46" s="10">
        <v>0</v>
      </c>
      <c r="DR46" s="10">
        <v>0</v>
      </c>
      <c r="DS46" s="10">
        <v>0</v>
      </c>
      <c r="DT46" s="10">
        <v>0</v>
      </c>
      <c r="DU46" s="1">
        <v>13.28</v>
      </c>
      <c r="DV46" s="1">
        <v>14.91</v>
      </c>
      <c r="DW46" s="10">
        <v>0</v>
      </c>
      <c r="DX46" s="10">
        <v>0</v>
      </c>
      <c r="DY46" s="1">
        <v>0</v>
      </c>
      <c r="DZ46" s="10">
        <v>0</v>
      </c>
      <c r="EA46" s="10">
        <v>0</v>
      </c>
      <c r="EB46" s="10">
        <v>0</v>
      </c>
      <c r="EC46" s="10">
        <v>0</v>
      </c>
      <c r="ED46" s="1">
        <v>0</v>
      </c>
      <c r="EE46" s="10">
        <v>0</v>
      </c>
      <c r="EF46" s="10">
        <v>0</v>
      </c>
      <c r="EG46" s="10">
        <v>0</v>
      </c>
      <c r="EH46" s="10">
        <v>0</v>
      </c>
      <c r="EI46" s="10">
        <v>0</v>
      </c>
      <c r="EJ46" s="10">
        <v>0</v>
      </c>
      <c r="EK46" s="10">
        <v>0</v>
      </c>
      <c r="EL46" s="10">
        <v>0</v>
      </c>
      <c r="EM46" s="10">
        <v>0</v>
      </c>
      <c r="EN46" s="10">
        <v>0</v>
      </c>
      <c r="EO46" s="10">
        <v>0</v>
      </c>
      <c r="EP46" s="10">
        <v>0</v>
      </c>
      <c r="EQ46" s="10">
        <v>0</v>
      </c>
      <c r="ER46" s="10">
        <v>0</v>
      </c>
      <c r="ES46" s="10">
        <v>0</v>
      </c>
      <c r="ET46" s="10">
        <v>0</v>
      </c>
      <c r="EU46" s="10">
        <v>0</v>
      </c>
      <c r="EV46" s="10">
        <v>0</v>
      </c>
      <c r="EW46" s="10">
        <v>0</v>
      </c>
      <c r="EX46" s="10">
        <v>0</v>
      </c>
      <c r="EY46" s="10">
        <v>0</v>
      </c>
      <c r="EZ46" s="10">
        <v>0</v>
      </c>
      <c r="FA46" s="10">
        <v>0</v>
      </c>
      <c r="FB46" s="10">
        <v>0</v>
      </c>
      <c r="FC46" s="10">
        <v>0</v>
      </c>
      <c r="FD46" s="10">
        <v>0</v>
      </c>
      <c r="FE46" s="1">
        <v>26.64</v>
      </c>
      <c r="FF46" s="1">
        <v>27.73</v>
      </c>
      <c r="FG46" s="1">
        <v>28.82</v>
      </c>
      <c r="FH46" s="1">
        <v>29.9</v>
      </c>
      <c r="FI46" s="1">
        <v>30.99</v>
      </c>
      <c r="FJ46" s="1">
        <v>32.08</v>
      </c>
      <c r="FK46" s="1">
        <v>33.159999999999997</v>
      </c>
      <c r="FL46" s="1">
        <v>0</v>
      </c>
      <c r="FM46" s="1">
        <v>0</v>
      </c>
      <c r="FN46" s="10">
        <v>0</v>
      </c>
      <c r="FO46" s="10">
        <v>0</v>
      </c>
      <c r="FP46" s="10">
        <v>0</v>
      </c>
      <c r="FQ46" s="10">
        <v>0</v>
      </c>
      <c r="FR46" s="10">
        <v>0</v>
      </c>
      <c r="FS46" s="10">
        <v>0</v>
      </c>
      <c r="FT46" s="1">
        <v>0</v>
      </c>
      <c r="FU46" s="10">
        <v>0</v>
      </c>
      <c r="FV46" s="1">
        <v>0</v>
      </c>
      <c r="FW46" s="1">
        <v>0</v>
      </c>
      <c r="FX46" s="1">
        <v>0</v>
      </c>
      <c r="FY46" s="1">
        <v>0</v>
      </c>
      <c r="FZ46" s="1">
        <v>0</v>
      </c>
      <c r="GA46" s="1">
        <v>0</v>
      </c>
      <c r="GB46" s="1">
        <v>0</v>
      </c>
      <c r="GC46" s="1">
        <v>0</v>
      </c>
      <c r="GD46" s="1">
        <v>0</v>
      </c>
      <c r="GE46" s="1">
        <v>0</v>
      </c>
      <c r="GF46" s="1">
        <v>0</v>
      </c>
      <c r="GG46" s="1">
        <v>0</v>
      </c>
      <c r="GH46" s="1">
        <v>0</v>
      </c>
      <c r="GI46" s="1">
        <v>0</v>
      </c>
      <c r="GJ46" s="1">
        <v>0</v>
      </c>
      <c r="GK46" s="1">
        <v>0</v>
      </c>
      <c r="GL46" s="1">
        <v>0</v>
      </c>
      <c r="GM46" s="1">
        <v>0</v>
      </c>
      <c r="GN46" s="1">
        <v>0</v>
      </c>
      <c r="GO46" s="1">
        <v>0</v>
      </c>
      <c r="GP46" s="1">
        <v>0</v>
      </c>
      <c r="GQ46" s="1">
        <v>0</v>
      </c>
      <c r="GR46" s="1">
        <v>0</v>
      </c>
      <c r="GS46" s="1">
        <v>0</v>
      </c>
      <c r="GT46" s="1">
        <v>0</v>
      </c>
      <c r="GU46" s="1">
        <v>0</v>
      </c>
      <c r="GV46" s="1">
        <v>0</v>
      </c>
      <c r="GW46" s="1">
        <v>0</v>
      </c>
      <c r="GX46" s="1">
        <v>0</v>
      </c>
      <c r="GY46" s="1">
        <v>0</v>
      </c>
      <c r="GZ46" s="1">
        <v>14.68</v>
      </c>
      <c r="HA46" s="1">
        <v>16.71</v>
      </c>
      <c r="HB46" s="1">
        <v>18.84</v>
      </c>
      <c r="HC46" s="1">
        <v>21.08</v>
      </c>
      <c r="HD46" s="1">
        <v>23.42</v>
      </c>
      <c r="HE46" s="1">
        <v>25.86</v>
      </c>
      <c r="HF46" s="1">
        <v>28.4</v>
      </c>
      <c r="HG46" s="1">
        <v>0</v>
      </c>
      <c r="HH46" s="10">
        <v>0</v>
      </c>
      <c r="HI46" s="1">
        <v>0</v>
      </c>
      <c r="HJ46" s="10">
        <v>0</v>
      </c>
      <c r="HK46" s="10">
        <v>0</v>
      </c>
      <c r="HL46" s="10">
        <v>0</v>
      </c>
      <c r="HM46" s="10">
        <v>0</v>
      </c>
      <c r="HN46" s="10">
        <v>0</v>
      </c>
      <c r="HO46" s="10">
        <v>0</v>
      </c>
      <c r="HP46" s="1">
        <v>88</v>
      </c>
      <c r="HQ46" s="1">
        <v>67.8</v>
      </c>
      <c r="HR46" s="1">
        <v>0</v>
      </c>
      <c r="HS46" s="1">
        <v>0</v>
      </c>
      <c r="HT46" s="1">
        <v>0</v>
      </c>
      <c r="HU46" s="1">
        <v>65.48</v>
      </c>
      <c r="HV46" s="1">
        <v>0</v>
      </c>
      <c r="HW46" s="1">
        <v>0</v>
      </c>
      <c r="HX46" s="1">
        <v>0</v>
      </c>
      <c r="HY46" s="1">
        <v>0</v>
      </c>
      <c r="HZ46" s="1">
        <v>0</v>
      </c>
      <c r="IA46" s="1">
        <v>0</v>
      </c>
      <c r="IB46" s="1">
        <v>0</v>
      </c>
      <c r="IC46" s="1">
        <v>721.7</v>
      </c>
      <c r="ID46" s="1">
        <v>640.20000000000005</v>
      </c>
      <c r="IE46" s="1">
        <v>0</v>
      </c>
      <c r="IF46" s="1">
        <v>0</v>
      </c>
      <c r="IG46" s="1">
        <v>0</v>
      </c>
      <c r="IH46" s="1">
        <v>0</v>
      </c>
      <c r="II46" s="1">
        <v>0</v>
      </c>
      <c r="IJ46" s="1">
        <v>0</v>
      </c>
      <c r="IK46" s="1">
        <v>0</v>
      </c>
      <c r="IL46" s="1">
        <v>0</v>
      </c>
      <c r="IM46" s="1">
        <v>0</v>
      </c>
      <c r="IN46" s="1">
        <v>0</v>
      </c>
      <c r="IO46" s="1">
        <v>0</v>
      </c>
      <c r="IP46" s="1">
        <v>0</v>
      </c>
      <c r="IQ46" s="1">
        <v>0</v>
      </c>
      <c r="IR46" s="1">
        <v>0</v>
      </c>
      <c r="IS46" s="1">
        <v>0</v>
      </c>
      <c r="IT46" s="1">
        <v>0</v>
      </c>
      <c r="IU46" s="1">
        <v>0</v>
      </c>
      <c r="IV46" s="1">
        <v>0</v>
      </c>
      <c r="IW46" s="1">
        <v>0</v>
      </c>
      <c r="IX46" s="1">
        <v>0</v>
      </c>
      <c r="IY46" s="1">
        <v>0</v>
      </c>
      <c r="IZ46" s="1">
        <v>0</v>
      </c>
      <c r="JA46" s="1">
        <v>0</v>
      </c>
      <c r="JB46" s="1">
        <v>90.95</v>
      </c>
      <c r="JC46" s="1">
        <v>75.5</v>
      </c>
      <c r="JD46" s="1">
        <v>22.81</v>
      </c>
      <c r="JE46" s="1">
        <v>23.87</v>
      </c>
      <c r="JF46" s="1">
        <v>24.93</v>
      </c>
      <c r="JG46" s="1">
        <v>25.99</v>
      </c>
      <c r="JH46" s="1">
        <v>27.06</v>
      </c>
      <c r="JI46" s="1">
        <v>28.14</v>
      </c>
      <c r="JJ46" s="1">
        <v>102.47</v>
      </c>
      <c r="JK46" s="1">
        <v>125.2</v>
      </c>
      <c r="JL46" s="1">
        <v>148.44</v>
      </c>
      <c r="JM46" s="1">
        <v>172.07</v>
      </c>
      <c r="JN46" s="1">
        <v>196</v>
      </c>
      <c r="JO46" s="1">
        <v>220.14</v>
      </c>
      <c r="JP46" s="1">
        <v>106.83</v>
      </c>
      <c r="JQ46" s="1">
        <v>92</v>
      </c>
      <c r="JR46" s="1">
        <v>83.2</v>
      </c>
      <c r="JS46" s="1">
        <v>77.489999999999995</v>
      </c>
      <c r="JT46" s="1">
        <v>0</v>
      </c>
      <c r="JU46" s="1">
        <v>0</v>
      </c>
      <c r="JV46" s="1">
        <v>0</v>
      </c>
      <c r="JW46" s="1">
        <v>106.08</v>
      </c>
      <c r="JX46" s="1">
        <v>91.25</v>
      </c>
      <c r="JY46" s="1">
        <v>82.45</v>
      </c>
      <c r="JZ46" s="1">
        <v>76.739999999999995</v>
      </c>
      <c r="KA46" s="1">
        <v>0</v>
      </c>
      <c r="KB46" s="1">
        <v>0</v>
      </c>
      <c r="KC46" s="1">
        <v>0</v>
      </c>
    </row>
    <row r="47" spans="1:289" x14ac:dyDescent="0.15">
      <c r="A47" s="8">
        <v>55</v>
      </c>
      <c r="B47" s="1">
        <v>55.65</v>
      </c>
      <c r="C47" s="1">
        <v>109.54</v>
      </c>
      <c r="D47" s="1">
        <v>100.63</v>
      </c>
      <c r="E47" s="1">
        <v>93.38</v>
      </c>
      <c r="F47" s="1">
        <v>87.39</v>
      </c>
      <c r="G47" s="1">
        <v>82.41</v>
      </c>
      <c r="H47" s="1">
        <v>78.23</v>
      </c>
      <c r="I47" s="1">
        <v>74.709999999999994</v>
      </c>
      <c r="J47" s="1">
        <v>71.73</v>
      </c>
      <c r="K47" s="1">
        <v>69.209999999999994</v>
      </c>
      <c r="L47" s="1">
        <v>67.069999999999993</v>
      </c>
      <c r="M47" s="1">
        <v>65.27</v>
      </c>
      <c r="N47" s="10">
        <v>0</v>
      </c>
      <c r="O47" s="10">
        <v>0</v>
      </c>
      <c r="P47" s="1">
        <v>0</v>
      </c>
      <c r="Q47" s="10">
        <v>0</v>
      </c>
      <c r="R47" s="10">
        <v>0</v>
      </c>
      <c r="S47" s="10">
        <v>0</v>
      </c>
      <c r="T47" s="10">
        <v>0</v>
      </c>
      <c r="U47" s="10">
        <v>0</v>
      </c>
      <c r="V47" s="10">
        <v>0</v>
      </c>
      <c r="W47" s="10">
        <v>0</v>
      </c>
      <c r="X47" s="10">
        <v>0</v>
      </c>
      <c r="Y47" s="10">
        <v>0</v>
      </c>
      <c r="Z47" s="10">
        <v>0</v>
      </c>
      <c r="AA47" s="10">
        <v>0</v>
      </c>
      <c r="AB47" s="10">
        <v>0</v>
      </c>
      <c r="AC47" s="10">
        <v>0</v>
      </c>
      <c r="AD47" s="10">
        <v>0</v>
      </c>
      <c r="AE47" s="10">
        <v>0</v>
      </c>
      <c r="AF47" s="10">
        <v>0</v>
      </c>
      <c r="AG47" s="10">
        <v>0</v>
      </c>
      <c r="AH47" s="10">
        <v>0</v>
      </c>
      <c r="AI47" s="10">
        <v>0</v>
      </c>
      <c r="AJ47" s="10">
        <v>0</v>
      </c>
      <c r="AK47" s="10">
        <v>0</v>
      </c>
      <c r="AL47" s="10">
        <v>0</v>
      </c>
      <c r="AM47" s="10">
        <v>0</v>
      </c>
      <c r="AN47" s="10">
        <v>0</v>
      </c>
      <c r="AO47" s="10">
        <v>0</v>
      </c>
      <c r="AP47" s="10">
        <v>0</v>
      </c>
      <c r="AQ47" s="10">
        <v>0</v>
      </c>
      <c r="AR47" s="10">
        <v>0</v>
      </c>
      <c r="AS47" s="10">
        <v>0</v>
      </c>
      <c r="AT47" s="10">
        <v>0</v>
      </c>
      <c r="AU47" s="10">
        <v>0</v>
      </c>
      <c r="AV47" s="10">
        <v>0</v>
      </c>
      <c r="AW47" s="1">
        <v>85.91</v>
      </c>
      <c r="AX47" s="1">
        <v>0</v>
      </c>
      <c r="AY47" s="1">
        <v>0</v>
      </c>
      <c r="AZ47" s="1">
        <v>0</v>
      </c>
      <c r="BA47" s="1">
        <v>0</v>
      </c>
      <c r="BB47" s="1">
        <v>0</v>
      </c>
      <c r="BC47" s="1">
        <v>0</v>
      </c>
      <c r="BD47" s="1">
        <v>0</v>
      </c>
      <c r="BE47" s="1">
        <v>0</v>
      </c>
      <c r="BF47" s="1">
        <v>0</v>
      </c>
      <c r="BG47" s="1">
        <v>0</v>
      </c>
      <c r="BH47" s="1">
        <v>0</v>
      </c>
      <c r="BI47" s="1">
        <v>0</v>
      </c>
      <c r="BJ47" s="1">
        <v>0</v>
      </c>
      <c r="BK47" s="1">
        <v>0</v>
      </c>
      <c r="BL47" s="1">
        <v>0</v>
      </c>
      <c r="BM47" s="1">
        <v>0</v>
      </c>
      <c r="BN47" s="1">
        <v>0</v>
      </c>
      <c r="BO47" s="1">
        <v>0</v>
      </c>
      <c r="BP47" s="1">
        <v>0</v>
      </c>
      <c r="BQ47" s="1">
        <v>0</v>
      </c>
      <c r="BR47" s="1">
        <v>0</v>
      </c>
      <c r="BS47" s="1">
        <v>0</v>
      </c>
      <c r="BT47" s="10">
        <v>0</v>
      </c>
      <c r="BU47" s="1">
        <v>0</v>
      </c>
      <c r="BV47" s="1">
        <v>0</v>
      </c>
      <c r="BW47" s="1">
        <v>140.16</v>
      </c>
      <c r="BX47" s="1">
        <v>114.57</v>
      </c>
      <c r="BY47" s="1">
        <v>0</v>
      </c>
      <c r="BZ47" s="10">
        <v>0</v>
      </c>
      <c r="CA47" s="6">
        <v>142.47</v>
      </c>
      <c r="CB47" s="6">
        <v>137.51</v>
      </c>
      <c r="CC47" s="6">
        <v>134.38</v>
      </c>
      <c r="CD47" s="6">
        <v>132.72999999999999</v>
      </c>
      <c r="CE47" s="6">
        <v>132.27000000000001</v>
      </c>
      <c r="CF47" s="6">
        <v>132.82</v>
      </c>
      <c r="CG47" s="1">
        <v>0</v>
      </c>
      <c r="CH47" s="10">
        <v>0</v>
      </c>
      <c r="CI47" s="10">
        <v>0</v>
      </c>
      <c r="CJ47" s="10">
        <v>0</v>
      </c>
      <c r="CK47" s="1">
        <v>0</v>
      </c>
      <c r="CL47" s="10">
        <v>0</v>
      </c>
      <c r="CM47" s="10">
        <v>0</v>
      </c>
      <c r="CN47" s="10">
        <v>0</v>
      </c>
      <c r="CO47" s="10">
        <v>0</v>
      </c>
      <c r="CP47" s="1">
        <v>107.53</v>
      </c>
      <c r="CQ47" s="5">
        <v>98.27</v>
      </c>
      <c r="CR47" s="5">
        <v>90.64</v>
      </c>
      <c r="CS47" s="1">
        <v>84.26</v>
      </c>
      <c r="CT47" s="1">
        <v>78.86</v>
      </c>
      <c r="CU47" s="1">
        <v>74.260000000000005</v>
      </c>
      <c r="CV47" s="1">
        <v>0</v>
      </c>
      <c r="CW47" s="1">
        <v>0</v>
      </c>
      <c r="CX47" s="1">
        <v>0</v>
      </c>
      <c r="CY47" s="1">
        <v>0</v>
      </c>
      <c r="CZ47" s="10">
        <v>0</v>
      </c>
      <c r="DA47" s="1">
        <v>0</v>
      </c>
      <c r="DB47" s="1">
        <v>0</v>
      </c>
      <c r="DC47" s="1">
        <v>0</v>
      </c>
      <c r="DD47" s="1">
        <v>0</v>
      </c>
      <c r="DE47">
        <v>189.84</v>
      </c>
      <c r="DF47" s="1">
        <v>0</v>
      </c>
      <c r="DG47" s="1">
        <v>0</v>
      </c>
      <c r="DH47" s="10">
        <v>0</v>
      </c>
      <c r="DI47" s="10">
        <v>0</v>
      </c>
      <c r="DJ47" s="10">
        <v>0</v>
      </c>
      <c r="DK47" s="10">
        <v>0</v>
      </c>
      <c r="DL47" s="1">
        <v>0</v>
      </c>
      <c r="DM47" s="1">
        <v>0</v>
      </c>
      <c r="DN47" s="1">
        <v>0</v>
      </c>
      <c r="DO47" s="1">
        <v>0</v>
      </c>
      <c r="DP47" s="1">
        <v>28.63</v>
      </c>
      <c r="DQ47" s="10">
        <v>0</v>
      </c>
      <c r="DR47" s="10">
        <v>0</v>
      </c>
      <c r="DS47" s="10">
        <v>0</v>
      </c>
      <c r="DT47" s="1">
        <v>0</v>
      </c>
      <c r="DU47" s="1">
        <v>14.56</v>
      </c>
      <c r="DV47" s="10">
        <v>0</v>
      </c>
      <c r="DW47" s="10">
        <v>0</v>
      </c>
      <c r="DX47" s="1">
        <v>0</v>
      </c>
      <c r="DY47" s="10">
        <v>0</v>
      </c>
      <c r="DZ47" s="10">
        <v>0</v>
      </c>
      <c r="EA47" s="10">
        <v>0</v>
      </c>
      <c r="EB47" s="10">
        <v>0</v>
      </c>
      <c r="EC47" s="1">
        <v>0</v>
      </c>
      <c r="ED47" s="10">
        <v>0</v>
      </c>
      <c r="EE47" s="10">
        <v>0</v>
      </c>
      <c r="EF47" s="10">
        <v>0</v>
      </c>
      <c r="EG47" s="10">
        <v>0</v>
      </c>
      <c r="EH47" s="10">
        <v>0</v>
      </c>
      <c r="EI47" s="10">
        <v>0</v>
      </c>
      <c r="EJ47" s="10">
        <v>0</v>
      </c>
      <c r="EK47" s="10">
        <v>0</v>
      </c>
      <c r="EL47" s="10">
        <v>0</v>
      </c>
      <c r="EM47" s="10">
        <v>0</v>
      </c>
      <c r="EN47" s="10">
        <v>0</v>
      </c>
      <c r="EO47" s="10">
        <v>0</v>
      </c>
      <c r="EP47" s="10">
        <v>0</v>
      </c>
      <c r="EQ47" s="10">
        <v>0</v>
      </c>
      <c r="ER47" s="10">
        <v>0</v>
      </c>
      <c r="ES47" s="10">
        <v>0</v>
      </c>
      <c r="ET47" s="10">
        <v>0</v>
      </c>
      <c r="EU47" s="10">
        <v>0</v>
      </c>
      <c r="EV47" s="10">
        <v>0</v>
      </c>
      <c r="EW47" s="10">
        <v>0</v>
      </c>
      <c r="EX47" s="10">
        <v>0</v>
      </c>
      <c r="EY47" s="10">
        <v>0</v>
      </c>
      <c r="EZ47" s="10">
        <v>0</v>
      </c>
      <c r="FA47" s="10">
        <v>0</v>
      </c>
      <c r="FB47" s="10">
        <v>0</v>
      </c>
      <c r="FC47" s="10">
        <v>0</v>
      </c>
      <c r="FD47" s="10">
        <v>0</v>
      </c>
      <c r="FE47" s="1">
        <v>29.12</v>
      </c>
      <c r="FF47" s="1">
        <v>30.26</v>
      </c>
      <c r="FG47" s="1">
        <v>31.41</v>
      </c>
      <c r="FH47" s="1">
        <v>32.549999999999997</v>
      </c>
      <c r="FI47" s="1">
        <v>33.700000000000003</v>
      </c>
      <c r="FJ47" s="1">
        <v>34.840000000000003</v>
      </c>
      <c r="FK47" s="1">
        <v>0</v>
      </c>
      <c r="FL47" s="10">
        <v>0</v>
      </c>
      <c r="FM47" s="10">
        <v>0</v>
      </c>
      <c r="FN47" s="10">
        <v>0</v>
      </c>
      <c r="FO47" s="10">
        <v>0</v>
      </c>
      <c r="FP47" s="10">
        <v>0</v>
      </c>
      <c r="FQ47" s="10">
        <v>0</v>
      </c>
      <c r="FR47" s="10">
        <v>0</v>
      </c>
      <c r="FS47" s="1">
        <v>0</v>
      </c>
      <c r="FT47" s="10">
        <v>0</v>
      </c>
      <c r="FU47" s="10">
        <v>0</v>
      </c>
      <c r="FV47" s="1">
        <v>0</v>
      </c>
      <c r="FW47" s="1">
        <v>0</v>
      </c>
      <c r="FX47" s="1">
        <v>0</v>
      </c>
      <c r="FY47" s="1">
        <v>0</v>
      </c>
      <c r="FZ47" s="10">
        <v>0</v>
      </c>
      <c r="GA47" s="1">
        <v>0</v>
      </c>
      <c r="GB47" s="1">
        <v>0</v>
      </c>
      <c r="GC47" s="10">
        <v>0</v>
      </c>
      <c r="GD47" s="1">
        <v>0</v>
      </c>
      <c r="GE47" s="10">
        <v>0</v>
      </c>
      <c r="GF47" s="10">
        <v>0</v>
      </c>
      <c r="GG47" s="1">
        <v>0</v>
      </c>
      <c r="GH47" s="1">
        <v>0</v>
      </c>
      <c r="GI47" s="10">
        <v>0</v>
      </c>
      <c r="GJ47" s="10">
        <v>0</v>
      </c>
      <c r="GK47" s="1">
        <v>0</v>
      </c>
      <c r="GL47" s="10">
        <v>0</v>
      </c>
      <c r="GM47" s="1">
        <v>0</v>
      </c>
      <c r="GN47" s="1">
        <v>0</v>
      </c>
      <c r="GO47" s="10">
        <v>0</v>
      </c>
      <c r="GP47" s="1">
        <v>0</v>
      </c>
      <c r="GQ47" s="1">
        <v>0</v>
      </c>
      <c r="GR47" s="1">
        <v>0</v>
      </c>
      <c r="GS47" s="1">
        <v>0</v>
      </c>
      <c r="GT47" s="10">
        <v>0</v>
      </c>
      <c r="GU47" s="1">
        <v>0</v>
      </c>
      <c r="GV47" s="1">
        <v>0</v>
      </c>
      <c r="GW47" s="1">
        <v>0</v>
      </c>
      <c r="GX47" s="1">
        <v>0</v>
      </c>
      <c r="GY47" s="10">
        <v>0</v>
      </c>
      <c r="GZ47" s="1">
        <v>15.99</v>
      </c>
      <c r="HA47" s="1">
        <v>18.149999999999999</v>
      </c>
      <c r="HB47" s="1">
        <v>20.420000000000002</v>
      </c>
      <c r="HC47" s="1">
        <v>22.81</v>
      </c>
      <c r="HD47" s="1">
        <v>25.3</v>
      </c>
      <c r="HE47" s="1">
        <v>27.89</v>
      </c>
      <c r="HF47" s="1">
        <v>0</v>
      </c>
      <c r="HG47" s="10">
        <v>0</v>
      </c>
      <c r="HH47" s="1">
        <v>0</v>
      </c>
      <c r="HI47" s="10">
        <v>0</v>
      </c>
      <c r="HJ47" s="10">
        <v>0</v>
      </c>
      <c r="HK47" s="10">
        <v>0</v>
      </c>
      <c r="HL47" s="10">
        <v>0</v>
      </c>
      <c r="HM47" s="10">
        <v>0</v>
      </c>
      <c r="HN47" s="10">
        <v>0</v>
      </c>
      <c r="HO47" s="10">
        <v>0</v>
      </c>
      <c r="HP47" s="1">
        <v>90.33</v>
      </c>
      <c r="HQ47">
        <v>69.92</v>
      </c>
      <c r="HR47" s="1">
        <v>0</v>
      </c>
      <c r="HS47" s="1">
        <v>0</v>
      </c>
      <c r="HT47" s="1">
        <v>0</v>
      </c>
      <c r="HU47" s="1">
        <v>69.92</v>
      </c>
      <c r="HV47" s="1">
        <v>0</v>
      </c>
      <c r="HW47" s="1">
        <v>0</v>
      </c>
      <c r="HX47" s="1">
        <v>0</v>
      </c>
      <c r="HY47" s="1">
        <v>0</v>
      </c>
      <c r="HZ47" s="1">
        <v>0</v>
      </c>
      <c r="IA47" s="1">
        <v>0</v>
      </c>
      <c r="IB47" s="1">
        <v>0</v>
      </c>
      <c r="IC47" s="1">
        <v>721.7</v>
      </c>
      <c r="ID47" s="1">
        <v>640.20000000000005</v>
      </c>
      <c r="IE47" s="1">
        <v>0</v>
      </c>
      <c r="IF47" s="1">
        <v>0</v>
      </c>
      <c r="IG47" s="1">
        <v>0</v>
      </c>
      <c r="IH47" s="1">
        <v>0</v>
      </c>
      <c r="II47" s="1">
        <v>0</v>
      </c>
      <c r="IJ47" s="1">
        <v>0</v>
      </c>
      <c r="IK47" s="1">
        <v>0</v>
      </c>
      <c r="IL47" s="1">
        <v>0</v>
      </c>
      <c r="IM47" s="1">
        <v>0</v>
      </c>
      <c r="IN47" s="1">
        <v>0</v>
      </c>
      <c r="IO47" s="1">
        <v>0</v>
      </c>
      <c r="IP47" s="1">
        <v>0</v>
      </c>
      <c r="IQ47" s="1">
        <v>0</v>
      </c>
      <c r="IR47" s="1">
        <v>0</v>
      </c>
      <c r="IS47" s="1">
        <v>0</v>
      </c>
      <c r="IT47" s="1">
        <v>0</v>
      </c>
      <c r="IU47" s="1">
        <v>0</v>
      </c>
      <c r="IV47" s="1">
        <v>0</v>
      </c>
      <c r="IW47" s="1">
        <v>0</v>
      </c>
      <c r="IX47" s="1">
        <v>0</v>
      </c>
      <c r="IY47" s="1">
        <v>0</v>
      </c>
      <c r="IZ47" s="1">
        <v>0</v>
      </c>
      <c r="JA47" s="1">
        <v>0</v>
      </c>
      <c r="JB47" s="1">
        <v>92.29</v>
      </c>
      <c r="JC47" s="1">
        <v>77.25</v>
      </c>
      <c r="JD47" s="1">
        <v>25.05</v>
      </c>
      <c r="JE47" s="1">
        <v>26.16</v>
      </c>
      <c r="JF47" s="1">
        <v>27.26</v>
      </c>
      <c r="JG47" s="1">
        <v>28.38</v>
      </c>
      <c r="JH47" s="1">
        <v>29.5</v>
      </c>
      <c r="JI47" s="1">
        <v>30.62</v>
      </c>
      <c r="JJ47" s="1">
        <v>112.14</v>
      </c>
      <c r="JK47" s="1">
        <v>136.62</v>
      </c>
      <c r="JL47" s="1">
        <v>161.52000000000001</v>
      </c>
      <c r="JM47" s="1">
        <v>186.73</v>
      </c>
      <c r="JN47" s="1">
        <v>212.16</v>
      </c>
      <c r="JO47" s="1">
        <v>237.72</v>
      </c>
      <c r="JP47" s="1">
        <v>108.45</v>
      </c>
      <c r="JQ47" s="1">
        <v>93.78</v>
      </c>
      <c r="JR47" s="1">
        <v>85.13</v>
      </c>
      <c r="JS47" s="1">
        <v>0</v>
      </c>
      <c r="JT47" s="1">
        <v>0</v>
      </c>
      <c r="JU47" s="1">
        <v>0</v>
      </c>
      <c r="JV47" s="1">
        <v>0</v>
      </c>
      <c r="JW47" s="1">
        <v>107.7</v>
      </c>
      <c r="JX47" s="1">
        <v>93.03</v>
      </c>
      <c r="JY47" s="1">
        <v>84.38</v>
      </c>
      <c r="JZ47" s="1">
        <v>0</v>
      </c>
      <c r="KA47" s="1">
        <v>0</v>
      </c>
      <c r="KB47" s="1">
        <v>0</v>
      </c>
      <c r="KC47" s="1">
        <v>0</v>
      </c>
    </row>
    <row r="48" spans="1:289" x14ac:dyDescent="0.15">
      <c r="A48" s="8">
        <v>56</v>
      </c>
      <c r="B48" s="1">
        <v>58.29</v>
      </c>
      <c r="C48" s="1">
        <v>110.72</v>
      </c>
      <c r="D48" s="1">
        <v>101.87</v>
      </c>
      <c r="E48" s="1">
        <v>94.67</v>
      </c>
      <c r="F48" s="1">
        <v>88.74</v>
      </c>
      <c r="G48" s="1">
        <v>83.81</v>
      </c>
      <c r="H48" s="1">
        <v>79.69</v>
      </c>
      <c r="I48" s="1">
        <v>76.23</v>
      </c>
      <c r="J48" s="1">
        <v>73.31</v>
      </c>
      <c r="K48" s="1">
        <v>70.849999999999994</v>
      </c>
      <c r="L48" s="1">
        <v>68.78</v>
      </c>
      <c r="M48" s="10">
        <v>0</v>
      </c>
      <c r="N48" s="10">
        <v>0</v>
      </c>
      <c r="O48" s="1">
        <v>0</v>
      </c>
      <c r="P48" s="10">
        <v>0</v>
      </c>
      <c r="Q48" s="10">
        <v>0</v>
      </c>
      <c r="R48" s="10">
        <v>0</v>
      </c>
      <c r="S48" s="10">
        <v>0</v>
      </c>
      <c r="T48" s="10">
        <v>0</v>
      </c>
      <c r="U48" s="10">
        <v>0</v>
      </c>
      <c r="V48" s="10">
        <v>0</v>
      </c>
      <c r="W48" s="10">
        <v>0</v>
      </c>
      <c r="X48" s="10">
        <v>0</v>
      </c>
      <c r="Y48" s="10">
        <v>0</v>
      </c>
      <c r="Z48" s="10">
        <v>0</v>
      </c>
      <c r="AA48" s="10">
        <v>0</v>
      </c>
      <c r="AB48" s="10">
        <v>0</v>
      </c>
      <c r="AC48" s="10">
        <v>0</v>
      </c>
      <c r="AD48" s="10">
        <v>0</v>
      </c>
      <c r="AE48" s="10">
        <v>0</v>
      </c>
      <c r="AF48" s="10">
        <v>0</v>
      </c>
      <c r="AG48" s="10">
        <v>0</v>
      </c>
      <c r="AH48" s="10">
        <v>0</v>
      </c>
      <c r="AI48" s="10">
        <v>0</v>
      </c>
      <c r="AJ48" s="10">
        <v>0</v>
      </c>
      <c r="AK48" s="10">
        <v>0</v>
      </c>
      <c r="AL48" s="10">
        <v>0</v>
      </c>
      <c r="AM48" s="10">
        <v>0</v>
      </c>
      <c r="AN48" s="10">
        <v>0</v>
      </c>
      <c r="AO48" s="10">
        <v>0</v>
      </c>
      <c r="AP48" s="10">
        <v>0</v>
      </c>
      <c r="AQ48" s="10">
        <v>0</v>
      </c>
      <c r="AR48" s="10">
        <v>0</v>
      </c>
      <c r="AS48" s="10">
        <v>0</v>
      </c>
      <c r="AT48" s="10">
        <v>0</v>
      </c>
      <c r="AU48" s="10">
        <v>0</v>
      </c>
      <c r="AV48" s="10">
        <v>0</v>
      </c>
      <c r="AW48" s="1">
        <v>88.06</v>
      </c>
      <c r="AX48" s="1">
        <v>0</v>
      </c>
      <c r="AY48" s="1">
        <v>0</v>
      </c>
      <c r="AZ48" s="1">
        <v>0</v>
      </c>
      <c r="BA48" s="1">
        <v>0</v>
      </c>
      <c r="BB48" s="1">
        <v>0</v>
      </c>
      <c r="BC48" s="1">
        <v>0</v>
      </c>
      <c r="BD48" s="1">
        <v>0</v>
      </c>
      <c r="BE48" s="1">
        <v>0</v>
      </c>
      <c r="BF48" s="1">
        <v>0</v>
      </c>
      <c r="BG48" s="1">
        <v>0</v>
      </c>
      <c r="BH48" s="1">
        <v>0</v>
      </c>
      <c r="BI48" s="1">
        <v>0</v>
      </c>
      <c r="BJ48" s="1">
        <v>0</v>
      </c>
      <c r="BK48" s="1">
        <v>0</v>
      </c>
      <c r="BL48" s="1">
        <v>0</v>
      </c>
      <c r="BM48" s="1">
        <v>0</v>
      </c>
      <c r="BN48" s="1">
        <v>0</v>
      </c>
      <c r="BO48" s="1">
        <v>0</v>
      </c>
      <c r="BP48" s="1">
        <v>0</v>
      </c>
      <c r="BQ48" s="1">
        <v>0</v>
      </c>
      <c r="BR48" s="1">
        <v>0</v>
      </c>
      <c r="BS48" s="1">
        <v>0</v>
      </c>
      <c r="BT48" s="10">
        <v>0</v>
      </c>
      <c r="BU48" s="1">
        <v>0</v>
      </c>
      <c r="BV48" s="1">
        <v>0</v>
      </c>
      <c r="BW48" s="1">
        <v>143.97999999999999</v>
      </c>
      <c r="BX48" s="1">
        <v>0</v>
      </c>
      <c r="BY48" s="1">
        <v>0</v>
      </c>
      <c r="BZ48" s="1">
        <v>0</v>
      </c>
      <c r="CA48" s="6">
        <v>146.66999999999999</v>
      </c>
      <c r="CB48" s="6">
        <v>142.13999999999999</v>
      </c>
      <c r="CC48" s="6">
        <v>139.47</v>
      </c>
      <c r="CD48" s="6">
        <v>138.28</v>
      </c>
      <c r="CE48" s="6">
        <v>138.31</v>
      </c>
      <c r="CF48" s="1">
        <v>0</v>
      </c>
      <c r="CG48" s="10">
        <v>0</v>
      </c>
      <c r="CH48" s="10">
        <v>0</v>
      </c>
      <c r="CI48" s="10">
        <v>0</v>
      </c>
      <c r="CJ48" s="1">
        <v>0</v>
      </c>
      <c r="CK48" s="10">
        <v>0</v>
      </c>
      <c r="CL48" s="10">
        <v>0</v>
      </c>
      <c r="CM48" s="10">
        <v>0</v>
      </c>
      <c r="CN48" s="10">
        <v>0</v>
      </c>
      <c r="CO48" s="10">
        <v>0</v>
      </c>
      <c r="CP48" s="1">
        <v>108.44</v>
      </c>
      <c r="CQ48" s="5">
        <v>99.2</v>
      </c>
      <c r="CR48" s="5">
        <v>91.58</v>
      </c>
      <c r="CS48" s="1">
        <v>85.23</v>
      </c>
      <c r="CT48" s="1">
        <v>79.849999999999994</v>
      </c>
      <c r="CU48" s="1">
        <v>0</v>
      </c>
      <c r="CV48" s="1">
        <v>0</v>
      </c>
      <c r="CW48" s="1">
        <v>0</v>
      </c>
      <c r="CX48" s="1">
        <v>0</v>
      </c>
      <c r="CY48" s="10">
        <v>0</v>
      </c>
      <c r="CZ48" s="10">
        <v>0</v>
      </c>
      <c r="DA48" s="1">
        <v>0</v>
      </c>
      <c r="DB48" s="1">
        <v>0</v>
      </c>
      <c r="DC48" s="1">
        <v>0</v>
      </c>
      <c r="DD48" s="1">
        <v>0</v>
      </c>
      <c r="DE48" s="1">
        <v>0</v>
      </c>
      <c r="DF48" s="1">
        <v>0</v>
      </c>
      <c r="DG48" s="10">
        <v>0</v>
      </c>
      <c r="DH48" s="10">
        <v>0</v>
      </c>
      <c r="DI48" s="10">
        <v>0</v>
      </c>
      <c r="DJ48" s="1">
        <v>0</v>
      </c>
      <c r="DK48" s="1">
        <v>0</v>
      </c>
      <c r="DL48" s="1">
        <v>0</v>
      </c>
      <c r="DM48" s="1">
        <v>0</v>
      </c>
      <c r="DN48" s="1">
        <v>0</v>
      </c>
      <c r="DO48" s="1">
        <v>0</v>
      </c>
      <c r="DP48" s="1">
        <v>31.73</v>
      </c>
      <c r="DQ48" s="1">
        <v>0</v>
      </c>
      <c r="DR48" s="1">
        <v>0</v>
      </c>
      <c r="DS48" s="10">
        <v>0</v>
      </c>
      <c r="DT48" s="10">
        <v>0</v>
      </c>
      <c r="DU48" s="1">
        <v>0</v>
      </c>
      <c r="DV48" s="10">
        <v>0</v>
      </c>
      <c r="DW48" s="1">
        <v>0</v>
      </c>
      <c r="DX48" s="10">
        <v>0</v>
      </c>
      <c r="DY48" s="10">
        <v>0</v>
      </c>
      <c r="DZ48" s="10">
        <v>0</v>
      </c>
      <c r="EA48" s="10">
        <v>0</v>
      </c>
      <c r="EB48" s="1">
        <v>0</v>
      </c>
      <c r="EC48" s="10">
        <v>0</v>
      </c>
      <c r="ED48" s="10">
        <v>0</v>
      </c>
      <c r="EE48" s="10">
        <v>0</v>
      </c>
      <c r="EF48" s="1">
        <v>0</v>
      </c>
      <c r="EG48" s="10">
        <v>0</v>
      </c>
      <c r="EH48" s="1">
        <v>0</v>
      </c>
      <c r="EI48" s="1">
        <v>0</v>
      </c>
      <c r="EJ48" s="1">
        <v>0</v>
      </c>
      <c r="EK48" s="1">
        <v>0</v>
      </c>
      <c r="EL48" s="1">
        <v>0</v>
      </c>
      <c r="EM48" s="1">
        <v>0</v>
      </c>
      <c r="EN48" s="1">
        <v>0</v>
      </c>
      <c r="EO48" s="1">
        <v>0</v>
      </c>
      <c r="EP48" s="1">
        <v>0</v>
      </c>
      <c r="EQ48" s="1">
        <v>0</v>
      </c>
      <c r="ER48" s="1">
        <v>0</v>
      </c>
      <c r="ES48" s="1">
        <v>0</v>
      </c>
      <c r="ET48" s="1">
        <v>0</v>
      </c>
      <c r="EU48" s="1">
        <v>0</v>
      </c>
      <c r="EV48" s="1">
        <v>0</v>
      </c>
      <c r="EW48" s="1">
        <v>0</v>
      </c>
      <c r="EX48" s="1">
        <v>0</v>
      </c>
      <c r="EY48" s="1">
        <v>0</v>
      </c>
      <c r="EZ48" s="1">
        <v>0</v>
      </c>
      <c r="FA48" s="1">
        <v>0</v>
      </c>
      <c r="FB48" s="1">
        <v>0</v>
      </c>
      <c r="FC48" s="1">
        <v>0</v>
      </c>
      <c r="FD48" s="1">
        <v>0</v>
      </c>
      <c r="FE48" s="1">
        <v>31.76</v>
      </c>
      <c r="FF48" s="1">
        <v>32.96</v>
      </c>
      <c r="FG48" s="1">
        <v>34.159999999999997</v>
      </c>
      <c r="FH48" s="1">
        <v>35.36</v>
      </c>
      <c r="FI48" s="1">
        <v>36.56</v>
      </c>
      <c r="FJ48" s="1">
        <v>0</v>
      </c>
      <c r="FK48" s="10">
        <v>0</v>
      </c>
      <c r="FL48" s="10">
        <v>0</v>
      </c>
      <c r="FM48" s="10">
        <v>0</v>
      </c>
      <c r="FN48" s="10">
        <v>0</v>
      </c>
      <c r="FO48" s="10">
        <v>0</v>
      </c>
      <c r="FP48" s="10">
        <v>0</v>
      </c>
      <c r="FQ48" s="10">
        <v>0</v>
      </c>
      <c r="FR48" s="1">
        <v>0</v>
      </c>
      <c r="FS48" s="10">
        <v>0</v>
      </c>
      <c r="FT48" s="10">
        <v>0</v>
      </c>
      <c r="FU48" s="10">
        <v>0</v>
      </c>
      <c r="FV48" s="1">
        <v>0</v>
      </c>
      <c r="FW48" s="1">
        <v>0</v>
      </c>
      <c r="FX48" s="1">
        <v>0</v>
      </c>
      <c r="FY48" s="1">
        <v>0</v>
      </c>
      <c r="FZ48" s="10">
        <v>0</v>
      </c>
      <c r="GA48" s="1">
        <v>0</v>
      </c>
      <c r="GB48" s="1">
        <v>0</v>
      </c>
      <c r="GC48" s="10">
        <v>0</v>
      </c>
      <c r="GD48" s="1">
        <v>0</v>
      </c>
      <c r="GE48" s="10">
        <v>0</v>
      </c>
      <c r="GF48" s="10">
        <v>0</v>
      </c>
      <c r="GG48" s="1">
        <v>0</v>
      </c>
      <c r="GH48" s="1">
        <v>0</v>
      </c>
      <c r="GI48" s="10">
        <v>0</v>
      </c>
      <c r="GJ48" s="10">
        <v>0</v>
      </c>
      <c r="GK48" s="1">
        <v>0</v>
      </c>
      <c r="GL48" s="10">
        <v>0</v>
      </c>
      <c r="GM48" s="1">
        <v>0</v>
      </c>
      <c r="GN48" s="1">
        <v>0</v>
      </c>
      <c r="GO48" s="10">
        <v>0</v>
      </c>
      <c r="GP48" s="1">
        <v>0</v>
      </c>
      <c r="GQ48" s="1">
        <v>0</v>
      </c>
      <c r="GR48" s="1">
        <v>0</v>
      </c>
      <c r="GS48" s="1">
        <v>0</v>
      </c>
      <c r="GT48" s="10">
        <v>0</v>
      </c>
      <c r="GU48" s="1">
        <v>0</v>
      </c>
      <c r="GV48" s="1">
        <v>0</v>
      </c>
      <c r="GW48" s="1">
        <v>0</v>
      </c>
      <c r="GX48" s="1">
        <v>0</v>
      </c>
      <c r="GY48" s="10">
        <v>0</v>
      </c>
      <c r="GZ48" s="1">
        <v>17.37</v>
      </c>
      <c r="HA48" s="1">
        <v>19.670000000000002</v>
      </c>
      <c r="HB48" s="1">
        <v>22.09</v>
      </c>
      <c r="HC48" s="1">
        <v>24.63</v>
      </c>
      <c r="HD48" s="1">
        <v>27.27</v>
      </c>
      <c r="HE48" s="1">
        <v>0</v>
      </c>
      <c r="HF48" s="10">
        <v>0</v>
      </c>
      <c r="HG48" s="1">
        <v>0</v>
      </c>
      <c r="HH48" s="10">
        <v>0</v>
      </c>
      <c r="HI48" s="10">
        <v>0</v>
      </c>
      <c r="HJ48" s="10">
        <v>0</v>
      </c>
      <c r="HK48" s="10">
        <v>0</v>
      </c>
      <c r="HL48" s="10">
        <v>0</v>
      </c>
      <c r="HM48" s="10">
        <v>0</v>
      </c>
      <c r="HN48" s="10">
        <v>0</v>
      </c>
      <c r="HO48" s="10">
        <v>0</v>
      </c>
      <c r="HP48" s="1">
        <v>0</v>
      </c>
      <c r="HQ48" s="1">
        <v>0</v>
      </c>
      <c r="HR48" s="1">
        <v>0</v>
      </c>
      <c r="HS48" s="1">
        <v>0</v>
      </c>
      <c r="HT48" s="1">
        <v>0</v>
      </c>
      <c r="HU48" s="1">
        <v>0</v>
      </c>
      <c r="HV48" s="1">
        <v>0</v>
      </c>
      <c r="HW48" s="1">
        <v>0</v>
      </c>
      <c r="HX48" s="1">
        <v>0</v>
      </c>
      <c r="HY48" s="1">
        <v>0</v>
      </c>
      <c r="HZ48" s="1">
        <v>0</v>
      </c>
      <c r="IA48" s="1">
        <v>0</v>
      </c>
      <c r="IB48" s="1">
        <v>0</v>
      </c>
      <c r="IC48" s="1">
        <v>721.7</v>
      </c>
      <c r="ID48" s="1">
        <v>0</v>
      </c>
      <c r="IE48" s="1">
        <v>0</v>
      </c>
      <c r="IF48" s="1">
        <v>0</v>
      </c>
      <c r="IG48" s="1">
        <v>0</v>
      </c>
      <c r="IH48" s="1">
        <v>0</v>
      </c>
      <c r="II48" s="1">
        <v>0</v>
      </c>
      <c r="IJ48" s="1">
        <v>0</v>
      </c>
      <c r="IK48" s="1">
        <v>0</v>
      </c>
      <c r="IL48" s="1">
        <v>0</v>
      </c>
      <c r="IM48" s="1">
        <v>0</v>
      </c>
      <c r="IN48" s="1">
        <v>0</v>
      </c>
      <c r="IO48" s="1">
        <v>0</v>
      </c>
      <c r="IP48" s="1">
        <v>0</v>
      </c>
      <c r="IQ48" s="1">
        <v>0</v>
      </c>
      <c r="IR48" s="1">
        <v>0</v>
      </c>
      <c r="IS48" s="1">
        <v>0</v>
      </c>
      <c r="IT48" s="1">
        <v>0</v>
      </c>
      <c r="IU48" s="1">
        <v>0</v>
      </c>
      <c r="IV48" s="1">
        <v>0</v>
      </c>
      <c r="IW48" s="1">
        <v>0</v>
      </c>
      <c r="IX48" s="1">
        <v>0</v>
      </c>
      <c r="IY48" s="1">
        <v>0</v>
      </c>
      <c r="IZ48" s="1">
        <v>0</v>
      </c>
      <c r="JA48" s="1">
        <v>0</v>
      </c>
      <c r="JB48" s="1">
        <v>0</v>
      </c>
      <c r="JC48" s="1">
        <v>0</v>
      </c>
      <c r="JD48" s="1">
        <v>27.43</v>
      </c>
      <c r="JE48" s="1">
        <v>28.58</v>
      </c>
      <c r="JF48" s="1">
        <v>29.74</v>
      </c>
      <c r="JG48" s="1">
        <v>30.9</v>
      </c>
      <c r="JH48" s="1">
        <v>32.08</v>
      </c>
      <c r="JI48" s="1">
        <v>33.26</v>
      </c>
      <c r="JJ48" s="1">
        <v>122.31</v>
      </c>
      <c r="JK48" s="1">
        <v>148.59</v>
      </c>
      <c r="JL48" s="1">
        <v>175.2</v>
      </c>
      <c r="JM48" s="1">
        <v>202.04</v>
      </c>
      <c r="JN48" s="1">
        <v>229.01</v>
      </c>
      <c r="JO48" s="1">
        <v>256.01</v>
      </c>
      <c r="JP48" s="1">
        <v>110.18</v>
      </c>
      <c r="JQ48" s="1">
        <v>95.67</v>
      </c>
      <c r="JR48" s="1">
        <v>87.19</v>
      </c>
      <c r="JS48" s="1">
        <v>0</v>
      </c>
      <c r="JT48" s="1">
        <v>0</v>
      </c>
      <c r="JU48" s="1">
        <v>0</v>
      </c>
      <c r="JV48" s="1">
        <v>0</v>
      </c>
      <c r="JW48" s="1">
        <v>109.43</v>
      </c>
      <c r="JX48" s="1">
        <v>94.92</v>
      </c>
      <c r="JY48" s="1">
        <v>86.44</v>
      </c>
      <c r="JZ48" s="1">
        <v>0</v>
      </c>
      <c r="KA48" s="1">
        <v>0</v>
      </c>
      <c r="KB48" s="1">
        <v>0</v>
      </c>
      <c r="KC48" s="1">
        <v>0</v>
      </c>
    </row>
    <row r="49" spans="1:289" x14ac:dyDescent="0.15">
      <c r="A49" s="8">
        <v>57</v>
      </c>
      <c r="B49" s="1">
        <v>61.07</v>
      </c>
      <c r="C49" s="1">
        <v>111.99</v>
      </c>
      <c r="D49" s="1">
        <v>103.19</v>
      </c>
      <c r="E49" s="1">
        <v>96.05</v>
      </c>
      <c r="F49" s="1">
        <v>90.18</v>
      </c>
      <c r="G49" s="1">
        <v>85.31</v>
      </c>
      <c r="H49" s="1">
        <v>81.25</v>
      </c>
      <c r="I49" s="1">
        <v>77.849999999999994</v>
      </c>
      <c r="J49" s="1">
        <v>75</v>
      </c>
      <c r="K49" s="1">
        <v>72.61</v>
      </c>
      <c r="L49" s="10">
        <v>0</v>
      </c>
      <c r="M49" s="10">
        <v>0</v>
      </c>
      <c r="N49" s="1">
        <v>0</v>
      </c>
      <c r="O49" s="10">
        <v>0</v>
      </c>
      <c r="P49" s="10">
        <v>0</v>
      </c>
      <c r="Q49" s="10">
        <v>0</v>
      </c>
      <c r="R49" s="10">
        <v>0</v>
      </c>
      <c r="S49" s="10">
        <v>0</v>
      </c>
      <c r="T49" s="10">
        <v>0</v>
      </c>
      <c r="U49" s="10">
        <v>0</v>
      </c>
      <c r="V49" s="10">
        <v>0</v>
      </c>
      <c r="W49" s="10">
        <v>0</v>
      </c>
      <c r="X49" s="10">
        <v>0</v>
      </c>
      <c r="Y49" s="10">
        <v>0</v>
      </c>
      <c r="Z49" s="10">
        <v>0</v>
      </c>
      <c r="AA49" s="10">
        <v>0</v>
      </c>
      <c r="AB49" s="10">
        <v>0</v>
      </c>
      <c r="AC49" s="10">
        <v>0</v>
      </c>
      <c r="AD49" s="10">
        <v>0</v>
      </c>
      <c r="AE49" s="10">
        <v>0</v>
      </c>
      <c r="AF49" s="10">
        <v>0</v>
      </c>
      <c r="AG49" s="10">
        <v>0</v>
      </c>
      <c r="AH49" s="10">
        <v>0</v>
      </c>
      <c r="AI49" s="10">
        <v>0</v>
      </c>
      <c r="AJ49" s="10">
        <v>0</v>
      </c>
      <c r="AK49" s="10">
        <v>0</v>
      </c>
      <c r="AL49" s="10">
        <v>0</v>
      </c>
      <c r="AM49" s="10">
        <v>0</v>
      </c>
      <c r="AN49" s="10">
        <v>0</v>
      </c>
      <c r="AO49" s="10">
        <v>0</v>
      </c>
      <c r="AP49" s="10">
        <v>0</v>
      </c>
      <c r="AQ49" s="10">
        <v>0</v>
      </c>
      <c r="AR49" s="10">
        <v>0</v>
      </c>
      <c r="AS49" s="10">
        <v>0</v>
      </c>
      <c r="AT49" s="10">
        <v>0</v>
      </c>
      <c r="AU49" s="10">
        <v>0</v>
      </c>
      <c r="AV49" s="10">
        <v>0</v>
      </c>
      <c r="AW49" s="1">
        <v>90.33</v>
      </c>
      <c r="AX49" s="1">
        <v>0</v>
      </c>
      <c r="AY49" s="1">
        <v>0</v>
      </c>
      <c r="AZ49" s="1">
        <v>0</v>
      </c>
      <c r="BA49" s="1">
        <v>0</v>
      </c>
      <c r="BB49" s="1">
        <v>0</v>
      </c>
      <c r="BC49" s="1">
        <v>0</v>
      </c>
      <c r="BD49" s="1">
        <v>0</v>
      </c>
      <c r="BE49" s="1">
        <v>0</v>
      </c>
      <c r="BF49" s="1">
        <v>0</v>
      </c>
      <c r="BG49" s="1">
        <v>0</v>
      </c>
      <c r="BH49" s="1">
        <v>0</v>
      </c>
      <c r="BI49" s="1">
        <v>0</v>
      </c>
      <c r="BJ49" s="1">
        <v>0</v>
      </c>
      <c r="BK49" s="1">
        <v>0</v>
      </c>
      <c r="BL49" s="1">
        <v>0</v>
      </c>
      <c r="BM49" s="1">
        <v>0</v>
      </c>
      <c r="BN49" s="1">
        <v>0</v>
      </c>
      <c r="BO49" s="1">
        <v>0</v>
      </c>
      <c r="BP49" s="1">
        <v>0</v>
      </c>
      <c r="BQ49" s="1">
        <v>0</v>
      </c>
      <c r="BR49" s="1">
        <v>0</v>
      </c>
      <c r="BS49" s="1">
        <v>0</v>
      </c>
      <c r="BT49" s="1">
        <v>0</v>
      </c>
      <c r="BU49" s="1">
        <v>0</v>
      </c>
      <c r="BV49" s="10">
        <v>0</v>
      </c>
      <c r="BW49" s="1">
        <v>148.04</v>
      </c>
      <c r="BX49" s="1">
        <v>0</v>
      </c>
      <c r="BY49" s="10">
        <v>0</v>
      </c>
      <c r="BZ49" s="1">
        <v>0</v>
      </c>
      <c r="CA49" s="6">
        <v>151.13</v>
      </c>
      <c r="CB49" s="6">
        <v>147.07</v>
      </c>
      <c r="CC49" s="6">
        <v>144.88999999999999</v>
      </c>
      <c r="CD49" s="6">
        <v>144.19999999999999</v>
      </c>
      <c r="CE49" s="1">
        <v>0</v>
      </c>
      <c r="CF49" s="10">
        <v>0</v>
      </c>
      <c r="CG49" s="10">
        <v>0</v>
      </c>
      <c r="CH49" s="10">
        <v>0</v>
      </c>
      <c r="CI49" s="1">
        <v>0</v>
      </c>
      <c r="CJ49" s="10">
        <v>0</v>
      </c>
      <c r="CK49" s="10">
        <v>0</v>
      </c>
      <c r="CL49" s="10">
        <v>0</v>
      </c>
      <c r="CM49" s="10">
        <v>0</v>
      </c>
      <c r="CN49" s="10">
        <v>0</v>
      </c>
      <c r="CO49" s="10">
        <v>0</v>
      </c>
      <c r="CP49" s="1">
        <v>109.41</v>
      </c>
      <c r="CQ49" s="5">
        <v>100.19</v>
      </c>
      <c r="CR49" s="5">
        <v>92.6</v>
      </c>
      <c r="CS49" s="1">
        <v>86.26</v>
      </c>
      <c r="CT49" s="1">
        <v>0</v>
      </c>
      <c r="CU49" s="1">
        <v>0</v>
      </c>
      <c r="CV49" s="1">
        <v>0</v>
      </c>
      <c r="CW49" s="1">
        <v>0</v>
      </c>
      <c r="CX49" s="10">
        <v>0</v>
      </c>
      <c r="CY49" s="10">
        <v>0</v>
      </c>
      <c r="CZ49" s="10">
        <v>0</v>
      </c>
      <c r="DA49" s="1">
        <v>0</v>
      </c>
      <c r="DB49" s="1">
        <v>0</v>
      </c>
      <c r="DC49" s="1">
        <v>0</v>
      </c>
      <c r="DD49" s="1">
        <v>0</v>
      </c>
      <c r="DE49" s="1">
        <v>0</v>
      </c>
      <c r="DF49" s="10">
        <v>0</v>
      </c>
      <c r="DG49" s="10">
        <v>0</v>
      </c>
      <c r="DH49" s="10">
        <v>0</v>
      </c>
      <c r="DI49" s="1">
        <v>0</v>
      </c>
      <c r="DJ49" s="1">
        <v>0</v>
      </c>
      <c r="DK49" s="1">
        <v>0</v>
      </c>
      <c r="DL49" s="1">
        <v>0</v>
      </c>
      <c r="DM49" s="1">
        <v>0</v>
      </c>
      <c r="DN49" s="1">
        <v>0</v>
      </c>
      <c r="DO49" s="1">
        <v>0</v>
      </c>
      <c r="DP49" s="1">
        <v>35.08</v>
      </c>
      <c r="DQ49" s="10">
        <v>0</v>
      </c>
      <c r="DR49" s="10">
        <v>0</v>
      </c>
      <c r="DS49" s="10">
        <v>0</v>
      </c>
      <c r="DT49" s="10">
        <v>0</v>
      </c>
      <c r="DU49" s="10">
        <v>0</v>
      </c>
      <c r="DV49" s="1">
        <v>0</v>
      </c>
      <c r="DW49" s="10">
        <v>0</v>
      </c>
      <c r="DX49" s="10">
        <v>0</v>
      </c>
      <c r="DY49" s="10">
        <v>0</v>
      </c>
      <c r="DZ49" s="10">
        <v>0</v>
      </c>
      <c r="EA49" s="1">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0</v>
      </c>
      <c r="ES49" s="10">
        <v>0</v>
      </c>
      <c r="ET49" s="10">
        <v>0</v>
      </c>
      <c r="EU49" s="10">
        <v>0</v>
      </c>
      <c r="EV49" s="10">
        <v>0</v>
      </c>
      <c r="EW49" s="10">
        <v>0</v>
      </c>
      <c r="EX49" s="10">
        <v>0</v>
      </c>
      <c r="EY49" s="10">
        <v>0</v>
      </c>
      <c r="EZ49" s="10">
        <v>0</v>
      </c>
      <c r="FA49" s="10">
        <v>0</v>
      </c>
      <c r="FB49" s="10">
        <v>0</v>
      </c>
      <c r="FC49" s="10">
        <v>0</v>
      </c>
      <c r="FD49" s="10">
        <v>0</v>
      </c>
      <c r="FE49" s="1">
        <v>34.549999999999997</v>
      </c>
      <c r="FF49" s="1">
        <v>35.81</v>
      </c>
      <c r="FG49" s="1">
        <v>37.07</v>
      </c>
      <c r="FH49" s="1">
        <v>38.33</v>
      </c>
      <c r="FI49" s="1">
        <v>0</v>
      </c>
      <c r="FJ49" s="10">
        <v>0</v>
      </c>
      <c r="FK49" s="10">
        <v>0</v>
      </c>
      <c r="FL49" s="10">
        <v>0</v>
      </c>
      <c r="FM49" s="10">
        <v>0</v>
      </c>
      <c r="FN49" s="10">
        <v>0</v>
      </c>
      <c r="FO49" s="10">
        <v>0</v>
      </c>
      <c r="FP49" s="10">
        <v>0</v>
      </c>
      <c r="FQ49" s="1">
        <v>0</v>
      </c>
      <c r="FR49" s="10">
        <v>0</v>
      </c>
      <c r="FS49" s="10">
        <v>0</v>
      </c>
      <c r="FT49" s="10">
        <v>0</v>
      </c>
      <c r="FU49" s="10">
        <v>0</v>
      </c>
      <c r="FV49" s="1">
        <v>0</v>
      </c>
      <c r="FW49" s="1">
        <v>0</v>
      </c>
      <c r="FX49" s="1">
        <v>0</v>
      </c>
      <c r="FY49" s="1">
        <v>0</v>
      </c>
      <c r="FZ49" s="10">
        <v>0</v>
      </c>
      <c r="GA49" s="1">
        <v>0</v>
      </c>
      <c r="GB49" s="1">
        <v>0</v>
      </c>
      <c r="GC49" s="10">
        <v>0</v>
      </c>
      <c r="GD49" s="1">
        <v>0</v>
      </c>
      <c r="GE49" s="10">
        <v>0</v>
      </c>
      <c r="GF49" s="10">
        <v>0</v>
      </c>
      <c r="GG49" s="1">
        <v>0</v>
      </c>
      <c r="GH49" s="1">
        <v>0</v>
      </c>
      <c r="GI49" s="10">
        <v>0</v>
      </c>
      <c r="GJ49" s="10">
        <v>0</v>
      </c>
      <c r="GK49" s="1">
        <v>0</v>
      </c>
      <c r="GL49" s="10">
        <v>0</v>
      </c>
      <c r="GM49" s="1">
        <v>0</v>
      </c>
      <c r="GN49" s="1">
        <v>0</v>
      </c>
      <c r="GO49" s="10">
        <v>0</v>
      </c>
      <c r="GP49" s="1">
        <v>0</v>
      </c>
      <c r="GQ49" s="1">
        <v>0</v>
      </c>
      <c r="GR49" s="1">
        <v>0</v>
      </c>
      <c r="GS49" s="1">
        <v>0</v>
      </c>
      <c r="GT49" s="10">
        <v>0</v>
      </c>
      <c r="GU49" s="1">
        <v>0</v>
      </c>
      <c r="GV49" s="1">
        <v>0</v>
      </c>
      <c r="GW49" s="1">
        <v>0</v>
      </c>
      <c r="GX49" s="1">
        <v>0</v>
      </c>
      <c r="GY49" s="10">
        <v>0</v>
      </c>
      <c r="GZ49" s="1">
        <v>18.809999999999999</v>
      </c>
      <c r="HA49" s="1">
        <v>21.27</v>
      </c>
      <c r="HB49" s="1">
        <v>23.85</v>
      </c>
      <c r="HC49" s="1">
        <v>26.55</v>
      </c>
      <c r="HD49" s="1">
        <v>0</v>
      </c>
      <c r="HE49" s="10">
        <v>0</v>
      </c>
      <c r="HF49" s="1">
        <v>0</v>
      </c>
      <c r="HG49" s="10">
        <v>0</v>
      </c>
      <c r="HH49" s="10">
        <v>0</v>
      </c>
      <c r="HI49" s="10">
        <v>0</v>
      </c>
      <c r="HJ49" s="10">
        <v>0</v>
      </c>
      <c r="HK49" s="10">
        <v>0</v>
      </c>
      <c r="HL49" s="10">
        <v>0</v>
      </c>
      <c r="HM49" s="10">
        <v>0</v>
      </c>
      <c r="HN49" s="10">
        <v>0</v>
      </c>
      <c r="HO49" s="1">
        <v>0</v>
      </c>
      <c r="HP49" s="1">
        <v>0</v>
      </c>
      <c r="HQ49" s="1">
        <v>0</v>
      </c>
      <c r="HR49" s="1">
        <v>0</v>
      </c>
      <c r="HS49" s="1">
        <v>0</v>
      </c>
      <c r="HT49" s="1">
        <v>0</v>
      </c>
      <c r="HU49" s="1">
        <v>0</v>
      </c>
      <c r="HV49" s="1">
        <v>0</v>
      </c>
      <c r="HW49" s="1">
        <v>0</v>
      </c>
      <c r="HX49" s="1">
        <v>0</v>
      </c>
      <c r="HY49" s="1">
        <v>0</v>
      </c>
      <c r="HZ49" s="1">
        <v>0</v>
      </c>
      <c r="IA49" s="1">
        <v>0</v>
      </c>
      <c r="IB49" s="1">
        <v>0</v>
      </c>
      <c r="IC49" s="1">
        <v>721.7</v>
      </c>
      <c r="ID49" s="1">
        <v>0</v>
      </c>
      <c r="IE49" s="1">
        <v>0</v>
      </c>
      <c r="IF49" s="1">
        <v>0</v>
      </c>
      <c r="IG49" s="1">
        <v>0</v>
      </c>
      <c r="IH49" s="1">
        <v>0</v>
      </c>
      <c r="II49" s="1">
        <v>0</v>
      </c>
      <c r="IJ49" s="1">
        <v>0</v>
      </c>
      <c r="IK49" s="1">
        <v>0</v>
      </c>
      <c r="IL49" s="1">
        <v>0</v>
      </c>
      <c r="IM49" s="1">
        <v>0</v>
      </c>
      <c r="IN49" s="1">
        <v>0</v>
      </c>
      <c r="IO49" s="1">
        <v>0</v>
      </c>
      <c r="IP49" s="1">
        <v>0</v>
      </c>
      <c r="IQ49" s="1">
        <v>0</v>
      </c>
      <c r="IR49" s="1">
        <v>0</v>
      </c>
      <c r="IS49" s="1">
        <v>0</v>
      </c>
      <c r="IT49" s="1">
        <v>0</v>
      </c>
      <c r="IU49" s="1">
        <v>0</v>
      </c>
      <c r="IV49" s="1">
        <v>0</v>
      </c>
      <c r="IW49" s="1">
        <v>0</v>
      </c>
      <c r="IX49" s="1">
        <v>0</v>
      </c>
      <c r="IY49" s="1">
        <v>0</v>
      </c>
      <c r="IZ49" s="1">
        <v>0</v>
      </c>
      <c r="JA49" s="1">
        <v>0</v>
      </c>
      <c r="JB49" s="1">
        <v>0</v>
      </c>
      <c r="JC49" s="1">
        <v>0</v>
      </c>
      <c r="JD49" s="1">
        <v>29.92</v>
      </c>
      <c r="JE49" s="1">
        <v>31.13</v>
      </c>
      <c r="JF49" s="1">
        <v>32.340000000000003</v>
      </c>
      <c r="JG49" s="1">
        <v>33.57</v>
      </c>
      <c r="JH49" s="1">
        <v>34.799999999999997</v>
      </c>
      <c r="JI49" s="1">
        <v>36.049999999999997</v>
      </c>
      <c r="JJ49" s="1">
        <v>132.94</v>
      </c>
      <c r="JK49" s="1">
        <v>161.08000000000001</v>
      </c>
      <c r="JL49" s="1">
        <v>189.46</v>
      </c>
      <c r="JM49" s="1">
        <v>217.97</v>
      </c>
      <c r="JN49" s="1">
        <v>246.52</v>
      </c>
      <c r="JO49" s="1">
        <v>257.02</v>
      </c>
      <c r="JP49" s="1">
        <v>112.01</v>
      </c>
      <c r="JQ49" s="1">
        <v>97.68</v>
      </c>
      <c r="JR49" s="1">
        <v>89.36</v>
      </c>
      <c r="JS49" s="1">
        <v>0</v>
      </c>
      <c r="JT49" s="1">
        <v>0</v>
      </c>
      <c r="JU49" s="1">
        <v>0</v>
      </c>
      <c r="JV49" s="1">
        <v>0</v>
      </c>
      <c r="JW49" s="1">
        <v>111.26</v>
      </c>
      <c r="JX49" s="1">
        <v>96.93</v>
      </c>
      <c r="JY49" s="1">
        <v>88.61</v>
      </c>
      <c r="JZ49" s="1">
        <v>0</v>
      </c>
      <c r="KA49" s="1">
        <v>0</v>
      </c>
      <c r="KB49" s="1">
        <v>0</v>
      </c>
      <c r="KC49" s="1">
        <v>0</v>
      </c>
    </row>
    <row r="50" spans="1:289" x14ac:dyDescent="0.15">
      <c r="A50" s="8">
        <v>58</v>
      </c>
      <c r="B50" s="1">
        <v>64</v>
      </c>
      <c r="C50" s="1">
        <v>113.32</v>
      </c>
      <c r="D50" s="1">
        <v>104.59</v>
      </c>
      <c r="E50" s="1">
        <v>97.51</v>
      </c>
      <c r="F50" s="1">
        <v>91.71</v>
      </c>
      <c r="G50" s="1">
        <v>86.91</v>
      </c>
      <c r="H50" s="1">
        <v>82.92</v>
      </c>
      <c r="I50" s="1">
        <v>79.59</v>
      </c>
      <c r="J50" s="1">
        <v>76.81</v>
      </c>
      <c r="K50" s="10">
        <v>0</v>
      </c>
      <c r="L50" s="10">
        <v>0</v>
      </c>
      <c r="M50" s="1">
        <v>0</v>
      </c>
      <c r="N50" s="10">
        <v>0</v>
      </c>
      <c r="O50" s="10">
        <v>0</v>
      </c>
      <c r="P50" s="10">
        <v>0</v>
      </c>
      <c r="Q50" s="10">
        <v>0</v>
      </c>
      <c r="R50" s="10">
        <v>0</v>
      </c>
      <c r="S50" s="10">
        <v>0</v>
      </c>
      <c r="T50" s="10">
        <v>0</v>
      </c>
      <c r="U50" s="10">
        <v>0</v>
      </c>
      <c r="V50" s="10">
        <v>0</v>
      </c>
      <c r="W50" s="10">
        <v>0</v>
      </c>
      <c r="X50" s="10">
        <v>0</v>
      </c>
      <c r="Y50" s="10">
        <v>0</v>
      </c>
      <c r="Z50" s="10">
        <v>0</v>
      </c>
      <c r="AA50" s="10">
        <v>0</v>
      </c>
      <c r="AB50" s="10">
        <v>0</v>
      </c>
      <c r="AC50" s="10">
        <v>0</v>
      </c>
      <c r="AD50" s="10">
        <v>0</v>
      </c>
      <c r="AE50" s="10">
        <v>0</v>
      </c>
      <c r="AF50" s="10">
        <v>0</v>
      </c>
      <c r="AG50" s="10">
        <v>0</v>
      </c>
      <c r="AH50" s="10">
        <v>0</v>
      </c>
      <c r="AI50" s="10">
        <v>0</v>
      </c>
      <c r="AJ50" s="10">
        <v>0</v>
      </c>
      <c r="AK50" s="10">
        <v>0</v>
      </c>
      <c r="AL50" s="10">
        <v>0</v>
      </c>
      <c r="AM50" s="10">
        <v>0</v>
      </c>
      <c r="AN50" s="10">
        <v>0</v>
      </c>
      <c r="AO50" s="10">
        <v>0</v>
      </c>
      <c r="AP50" s="10">
        <v>0</v>
      </c>
      <c r="AQ50" s="10">
        <v>0</v>
      </c>
      <c r="AR50" s="10">
        <v>0</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c r="BJ50" s="10">
        <v>0</v>
      </c>
      <c r="BK50" s="10">
        <v>0</v>
      </c>
      <c r="BL50" s="10">
        <v>0</v>
      </c>
      <c r="BM50" s="10">
        <v>0</v>
      </c>
      <c r="BN50" s="10">
        <v>0</v>
      </c>
      <c r="BO50" s="10">
        <v>0</v>
      </c>
      <c r="BP50" s="10">
        <v>0</v>
      </c>
      <c r="BQ50" s="10">
        <v>0</v>
      </c>
      <c r="BR50" s="10">
        <v>0</v>
      </c>
      <c r="BS50" s="10">
        <v>0</v>
      </c>
      <c r="BT50" s="10">
        <v>0</v>
      </c>
      <c r="BU50" s="10">
        <v>0</v>
      </c>
      <c r="BV50" s="10">
        <v>0</v>
      </c>
      <c r="BW50" s="1">
        <v>152.31</v>
      </c>
      <c r="BX50" s="1">
        <v>0</v>
      </c>
      <c r="BY50" s="10">
        <v>0</v>
      </c>
      <c r="BZ50" s="1">
        <v>0</v>
      </c>
      <c r="CA50" s="6">
        <v>155.85</v>
      </c>
      <c r="CB50" s="6">
        <v>152.30000000000001</v>
      </c>
      <c r="CC50" s="6">
        <v>150.65</v>
      </c>
      <c r="CD50" s="1">
        <v>0</v>
      </c>
      <c r="CE50" s="10">
        <v>0</v>
      </c>
      <c r="CF50" s="10">
        <v>0</v>
      </c>
      <c r="CG50" s="10">
        <v>0</v>
      </c>
      <c r="CH50" s="1">
        <v>0</v>
      </c>
      <c r="CI50" s="10">
        <v>0</v>
      </c>
      <c r="CJ50" s="1">
        <v>0</v>
      </c>
      <c r="CK50" s="1">
        <v>0</v>
      </c>
      <c r="CL50" s="1">
        <v>0</v>
      </c>
      <c r="CM50" s="1">
        <v>0</v>
      </c>
      <c r="CN50" s="1">
        <v>0</v>
      </c>
      <c r="CO50" s="1">
        <v>0</v>
      </c>
      <c r="CP50" s="1">
        <v>110.43</v>
      </c>
      <c r="CQ50" s="5">
        <v>101.24</v>
      </c>
      <c r="CR50" s="5">
        <v>93.67</v>
      </c>
      <c r="CS50" s="1">
        <v>0</v>
      </c>
      <c r="CT50" s="1">
        <v>0</v>
      </c>
      <c r="CU50" s="10">
        <v>0</v>
      </c>
      <c r="CV50" s="1">
        <v>0</v>
      </c>
      <c r="CW50" s="10">
        <v>0</v>
      </c>
      <c r="CX50" s="10">
        <v>0</v>
      </c>
      <c r="CY50" s="10">
        <v>0</v>
      </c>
      <c r="CZ50" s="10">
        <v>0</v>
      </c>
      <c r="DA50" s="10">
        <v>0</v>
      </c>
      <c r="DB50" s="10">
        <v>0</v>
      </c>
      <c r="DC50" s="10">
        <v>0</v>
      </c>
      <c r="DD50" s="1">
        <v>0</v>
      </c>
      <c r="DE50" s="10">
        <v>0</v>
      </c>
      <c r="DF50" s="10">
        <v>0</v>
      </c>
      <c r="DG50" s="10">
        <v>0</v>
      </c>
      <c r="DH50" s="10">
        <v>0</v>
      </c>
      <c r="DI50" s="10">
        <v>0</v>
      </c>
      <c r="DJ50" s="10">
        <v>0</v>
      </c>
      <c r="DK50" s="10">
        <v>0</v>
      </c>
      <c r="DL50" s="10">
        <v>0</v>
      </c>
      <c r="DM50" s="10">
        <v>0</v>
      </c>
      <c r="DN50" s="10">
        <v>0</v>
      </c>
      <c r="DO50" s="10">
        <v>0</v>
      </c>
      <c r="DP50" s="1">
        <v>38.65</v>
      </c>
      <c r="DQ50" s="10">
        <v>0</v>
      </c>
      <c r="DR50" s="10">
        <v>0</v>
      </c>
      <c r="DS50" s="1">
        <v>0</v>
      </c>
      <c r="DT50" s="10">
        <v>0</v>
      </c>
      <c r="DU50" s="10">
        <v>0</v>
      </c>
      <c r="DV50" s="10">
        <v>0</v>
      </c>
      <c r="DW50" s="10">
        <v>0</v>
      </c>
      <c r="DX50" s="10">
        <v>0</v>
      </c>
      <c r="DY50" s="10">
        <v>0</v>
      </c>
      <c r="DZ50" s="1">
        <v>0</v>
      </c>
      <c r="EA50" s="10">
        <v>0</v>
      </c>
      <c r="EB50" s="10">
        <v>0</v>
      </c>
      <c r="EC50" s="10">
        <v>0</v>
      </c>
      <c r="ED50" s="10">
        <v>0</v>
      </c>
      <c r="EE50" s="10">
        <v>0</v>
      </c>
      <c r="EF50" s="10">
        <v>0</v>
      </c>
      <c r="EG50" s="10">
        <v>0</v>
      </c>
      <c r="EH50" s="10">
        <v>0</v>
      </c>
      <c r="EI50" s="10">
        <v>0</v>
      </c>
      <c r="EJ50" s="10">
        <v>0</v>
      </c>
      <c r="EK50" s="10">
        <v>0</v>
      </c>
      <c r="EL50" s="10">
        <v>0</v>
      </c>
      <c r="EM50" s="10">
        <v>0</v>
      </c>
      <c r="EN50" s="10">
        <v>0</v>
      </c>
      <c r="EO50" s="10">
        <v>0</v>
      </c>
      <c r="EP50" s="10">
        <v>0</v>
      </c>
      <c r="EQ50" s="10">
        <v>0</v>
      </c>
      <c r="ER50" s="10">
        <v>0</v>
      </c>
      <c r="ES50" s="10">
        <v>0</v>
      </c>
      <c r="ET50" s="10">
        <v>0</v>
      </c>
      <c r="EU50" s="10">
        <v>0</v>
      </c>
      <c r="EV50" s="10">
        <v>0</v>
      </c>
      <c r="EW50" s="10">
        <v>0</v>
      </c>
      <c r="EX50" s="10">
        <v>0</v>
      </c>
      <c r="EY50" s="10">
        <v>0</v>
      </c>
      <c r="EZ50" s="10">
        <v>0</v>
      </c>
      <c r="FA50" s="10">
        <v>0</v>
      </c>
      <c r="FB50" s="10">
        <v>0</v>
      </c>
      <c r="FC50" s="10">
        <v>0</v>
      </c>
      <c r="FD50" s="10">
        <v>0</v>
      </c>
      <c r="FE50" s="1">
        <v>37.49</v>
      </c>
      <c r="FF50" s="1">
        <v>38.82</v>
      </c>
      <c r="FG50" s="1">
        <v>40.15</v>
      </c>
      <c r="FH50" s="1">
        <v>0</v>
      </c>
      <c r="FI50" s="10">
        <v>0</v>
      </c>
      <c r="FJ50" s="10">
        <v>0</v>
      </c>
      <c r="FK50" s="10">
        <v>0</v>
      </c>
      <c r="FL50" s="10">
        <v>0</v>
      </c>
      <c r="FM50" s="10">
        <v>0</v>
      </c>
      <c r="FN50" s="10">
        <v>0</v>
      </c>
      <c r="FO50" s="10">
        <v>0</v>
      </c>
      <c r="FP50" s="1">
        <v>0</v>
      </c>
      <c r="FQ50" s="10">
        <v>0</v>
      </c>
      <c r="FR50" s="10">
        <v>0</v>
      </c>
      <c r="FS50" s="10">
        <v>0</v>
      </c>
      <c r="FT50" s="10">
        <v>0</v>
      </c>
      <c r="FU50" s="10">
        <v>0</v>
      </c>
      <c r="FV50" s="1">
        <v>0</v>
      </c>
      <c r="FW50" s="1">
        <v>0</v>
      </c>
      <c r="FX50" s="1">
        <v>0</v>
      </c>
      <c r="FY50" s="1">
        <v>0</v>
      </c>
      <c r="FZ50" s="10">
        <v>0</v>
      </c>
      <c r="GA50" s="1">
        <v>0</v>
      </c>
      <c r="GB50" s="1">
        <v>0</v>
      </c>
      <c r="GC50" s="10">
        <v>0</v>
      </c>
      <c r="GD50" s="1">
        <v>0</v>
      </c>
      <c r="GE50" s="10">
        <v>0</v>
      </c>
      <c r="GF50" s="10">
        <v>0</v>
      </c>
      <c r="GG50" s="1">
        <v>0</v>
      </c>
      <c r="GH50" s="1">
        <v>0</v>
      </c>
      <c r="GI50" s="10">
        <v>0</v>
      </c>
      <c r="GJ50" s="10">
        <v>0</v>
      </c>
      <c r="GK50" s="1">
        <v>0</v>
      </c>
      <c r="GL50" s="10">
        <v>0</v>
      </c>
      <c r="GM50" s="1">
        <v>0</v>
      </c>
      <c r="GN50" s="1">
        <v>0</v>
      </c>
      <c r="GO50" s="10">
        <v>0</v>
      </c>
      <c r="GP50" s="1">
        <v>0</v>
      </c>
      <c r="GQ50" s="1">
        <v>0</v>
      </c>
      <c r="GR50" s="1">
        <v>0</v>
      </c>
      <c r="GS50" s="1">
        <v>0</v>
      </c>
      <c r="GT50" s="10">
        <v>0</v>
      </c>
      <c r="GU50" s="1">
        <v>0</v>
      </c>
      <c r="GV50" s="1">
        <v>0</v>
      </c>
      <c r="GW50" s="1">
        <v>0</v>
      </c>
      <c r="GX50" s="1">
        <v>0</v>
      </c>
      <c r="GY50" s="10">
        <v>0</v>
      </c>
      <c r="GZ50" s="1">
        <v>20.34</v>
      </c>
      <c r="HA50" s="1">
        <v>22.96</v>
      </c>
      <c r="HB50" s="1">
        <v>25.71</v>
      </c>
      <c r="HC50" s="1">
        <v>0</v>
      </c>
      <c r="HD50" s="10">
        <v>0</v>
      </c>
      <c r="HE50" s="10">
        <v>0</v>
      </c>
      <c r="HF50" s="10">
        <v>0</v>
      </c>
      <c r="HG50" s="10">
        <v>0</v>
      </c>
      <c r="HH50" s="10">
        <v>0</v>
      </c>
      <c r="HI50" s="10">
        <v>0</v>
      </c>
      <c r="HJ50" s="10">
        <v>0</v>
      </c>
      <c r="HK50" s="10">
        <v>0</v>
      </c>
      <c r="HL50" s="10">
        <v>0</v>
      </c>
      <c r="HM50" s="10">
        <v>0</v>
      </c>
      <c r="HN50" s="10">
        <v>0</v>
      </c>
      <c r="HO50" s="10">
        <v>0</v>
      </c>
      <c r="HP50" s="1">
        <v>0</v>
      </c>
      <c r="HQ50" s="1">
        <v>0</v>
      </c>
      <c r="HR50" s="1">
        <v>0</v>
      </c>
      <c r="HS50" s="1">
        <v>0</v>
      </c>
      <c r="HT50" s="1">
        <v>0</v>
      </c>
      <c r="HU50" s="1">
        <v>0</v>
      </c>
      <c r="HV50" s="1">
        <v>0</v>
      </c>
      <c r="HW50" s="1">
        <v>0</v>
      </c>
      <c r="HX50" s="1">
        <v>0</v>
      </c>
      <c r="HY50" s="1">
        <v>0</v>
      </c>
      <c r="HZ50" s="1">
        <v>0</v>
      </c>
      <c r="IA50" s="1">
        <v>0</v>
      </c>
      <c r="IB50" s="1">
        <v>0</v>
      </c>
      <c r="IC50" s="1">
        <v>736.5</v>
      </c>
      <c r="ID50" s="1">
        <v>0</v>
      </c>
      <c r="IE50" s="1">
        <v>0</v>
      </c>
      <c r="IF50" s="1">
        <v>0</v>
      </c>
      <c r="IG50" s="1">
        <v>0</v>
      </c>
      <c r="IH50" s="1">
        <v>0</v>
      </c>
      <c r="II50" s="1">
        <v>0</v>
      </c>
      <c r="IJ50" s="1">
        <v>0</v>
      </c>
      <c r="IK50" s="1">
        <v>0</v>
      </c>
      <c r="IL50" s="1">
        <v>0</v>
      </c>
      <c r="IM50" s="1">
        <v>0</v>
      </c>
      <c r="IN50" s="1">
        <v>0</v>
      </c>
      <c r="IO50" s="1">
        <v>0</v>
      </c>
      <c r="IP50" s="1">
        <v>0</v>
      </c>
      <c r="IQ50" s="1">
        <v>0</v>
      </c>
      <c r="IR50" s="1">
        <v>0</v>
      </c>
      <c r="IS50" s="1">
        <v>0</v>
      </c>
      <c r="IT50" s="1">
        <v>0</v>
      </c>
      <c r="IU50" s="1">
        <v>0</v>
      </c>
      <c r="IV50" s="1">
        <v>0</v>
      </c>
      <c r="IW50" s="1">
        <v>0</v>
      </c>
      <c r="IX50" s="1">
        <v>0</v>
      </c>
      <c r="IY50" s="1">
        <v>0</v>
      </c>
      <c r="IZ50" s="1">
        <v>0</v>
      </c>
      <c r="JA50" s="1">
        <v>0</v>
      </c>
      <c r="JB50" s="1">
        <v>0</v>
      </c>
      <c r="JC50" s="1">
        <v>0</v>
      </c>
      <c r="JD50" s="1">
        <v>32.549999999999997</v>
      </c>
      <c r="JE50" s="1">
        <v>33.81</v>
      </c>
      <c r="JF50" s="1">
        <v>35.090000000000003</v>
      </c>
      <c r="JG50" s="1">
        <v>36.380000000000003</v>
      </c>
      <c r="JH50" s="1">
        <v>37.68</v>
      </c>
      <c r="JI50" s="1">
        <v>38.99</v>
      </c>
      <c r="JJ50" s="1">
        <v>144.02000000000001</v>
      </c>
      <c r="JK50" s="1">
        <v>174.08</v>
      </c>
      <c r="JL50" s="1">
        <v>204.29</v>
      </c>
      <c r="JM50" s="1">
        <v>234.53</v>
      </c>
      <c r="JN50" s="1">
        <v>264.73</v>
      </c>
      <c r="JO50" s="1">
        <v>294.77</v>
      </c>
      <c r="JP50" s="1">
        <v>113.95</v>
      </c>
      <c r="JQ50" s="1">
        <v>99.81</v>
      </c>
      <c r="JR50" s="1">
        <v>0</v>
      </c>
      <c r="JS50" s="1">
        <v>0</v>
      </c>
      <c r="JT50" s="1">
        <v>0</v>
      </c>
      <c r="JU50" s="1">
        <v>0</v>
      </c>
      <c r="JV50" s="1">
        <v>0</v>
      </c>
      <c r="JW50" s="1">
        <v>113.2</v>
      </c>
      <c r="JX50" s="1">
        <v>99.06</v>
      </c>
      <c r="JY50" s="1">
        <v>0</v>
      </c>
      <c r="JZ50" s="1">
        <v>0</v>
      </c>
      <c r="KA50" s="1">
        <v>0</v>
      </c>
      <c r="KB50" s="1">
        <v>0</v>
      </c>
      <c r="KC50" s="1">
        <v>0</v>
      </c>
    </row>
    <row r="51" spans="1:289" x14ac:dyDescent="0.15">
      <c r="A51" s="8">
        <v>59</v>
      </c>
      <c r="B51" s="1">
        <v>67.099999999999994</v>
      </c>
      <c r="C51" s="1">
        <v>114.74</v>
      </c>
      <c r="D51" s="1">
        <v>106.08</v>
      </c>
      <c r="E51" s="1">
        <v>99.07</v>
      </c>
      <c r="F51" s="1">
        <v>93.34</v>
      </c>
      <c r="G51" s="1">
        <v>88.62</v>
      </c>
      <c r="H51" s="1">
        <v>84.7</v>
      </c>
      <c r="I51" s="1">
        <v>81.45</v>
      </c>
      <c r="J51" s="10">
        <v>0</v>
      </c>
      <c r="K51" s="10">
        <v>0</v>
      </c>
      <c r="L51" s="1">
        <v>0</v>
      </c>
      <c r="M51" s="10">
        <v>0</v>
      </c>
      <c r="N51" s="10">
        <v>0</v>
      </c>
      <c r="O51" s="10">
        <v>0</v>
      </c>
      <c r="P51" s="10">
        <v>0</v>
      </c>
      <c r="Q51" s="10">
        <v>0</v>
      </c>
      <c r="R51" s="10">
        <v>0</v>
      </c>
      <c r="S51" s="10">
        <v>0</v>
      </c>
      <c r="T51" s="10">
        <v>0</v>
      </c>
      <c r="U51" s="10">
        <v>0</v>
      </c>
      <c r="V51" s="10">
        <v>0</v>
      </c>
      <c r="W51" s="10">
        <v>0</v>
      </c>
      <c r="X51" s="10">
        <v>0</v>
      </c>
      <c r="Y51" s="10">
        <v>0</v>
      </c>
      <c r="Z51" s="10">
        <v>0</v>
      </c>
      <c r="AA51" s="10">
        <v>0</v>
      </c>
      <c r="AB51" s="10">
        <v>0</v>
      </c>
      <c r="AC51" s="10">
        <v>0</v>
      </c>
      <c r="AD51" s="10">
        <v>0</v>
      </c>
      <c r="AE51" s="10">
        <v>0</v>
      </c>
      <c r="AF51" s="10">
        <v>0</v>
      </c>
      <c r="AG51" s="10">
        <v>0</v>
      </c>
      <c r="AH51" s="10">
        <v>0</v>
      </c>
      <c r="AI51" s="10">
        <v>0</v>
      </c>
      <c r="AJ51" s="10">
        <v>0</v>
      </c>
      <c r="AK51" s="10">
        <v>0</v>
      </c>
      <c r="AL51" s="10">
        <v>0</v>
      </c>
      <c r="AM51" s="10">
        <v>0</v>
      </c>
      <c r="AN51" s="10">
        <v>0</v>
      </c>
      <c r="AO51" s="10">
        <v>0</v>
      </c>
      <c r="AP51" s="10">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c r="BJ51" s="10">
        <v>0</v>
      </c>
      <c r="BK51" s="10">
        <v>0</v>
      </c>
      <c r="BL51" s="10">
        <v>0</v>
      </c>
      <c r="BM51" s="10">
        <v>0</v>
      </c>
      <c r="BN51" s="10">
        <v>0</v>
      </c>
      <c r="BO51" s="10">
        <v>0</v>
      </c>
      <c r="BP51" s="10">
        <v>0</v>
      </c>
      <c r="BQ51" s="10">
        <v>0</v>
      </c>
      <c r="BR51" s="10">
        <v>0</v>
      </c>
      <c r="BS51" s="10">
        <v>0</v>
      </c>
      <c r="BT51" s="10">
        <v>0</v>
      </c>
      <c r="BU51" s="10">
        <v>0</v>
      </c>
      <c r="BV51" s="10">
        <v>0</v>
      </c>
      <c r="BW51" s="1">
        <v>156.86000000000001</v>
      </c>
      <c r="BX51" s="1">
        <v>0</v>
      </c>
      <c r="BY51" s="10">
        <v>0</v>
      </c>
      <c r="BZ51" s="1">
        <v>0</v>
      </c>
      <c r="CA51" s="6">
        <v>160.87</v>
      </c>
      <c r="CB51" s="6">
        <v>157.87</v>
      </c>
      <c r="CC51" s="1">
        <v>0</v>
      </c>
      <c r="CD51" s="10">
        <v>0</v>
      </c>
      <c r="CE51" s="10">
        <v>0</v>
      </c>
      <c r="CF51" s="10">
        <v>0</v>
      </c>
      <c r="CG51" s="10">
        <v>0</v>
      </c>
      <c r="CH51" s="10">
        <v>0</v>
      </c>
      <c r="CI51" s="10">
        <v>0</v>
      </c>
      <c r="CJ51" s="10">
        <v>0</v>
      </c>
      <c r="CK51" s="10">
        <v>0</v>
      </c>
      <c r="CL51" s="10">
        <v>0</v>
      </c>
      <c r="CM51" s="10">
        <v>0</v>
      </c>
      <c r="CN51" s="10">
        <v>0</v>
      </c>
      <c r="CO51" s="10">
        <v>0</v>
      </c>
      <c r="CP51" s="1">
        <v>111.52</v>
      </c>
      <c r="CQ51" s="5">
        <v>102.36</v>
      </c>
      <c r="CR51" s="1">
        <v>0</v>
      </c>
      <c r="CS51" s="1">
        <v>0</v>
      </c>
      <c r="CT51" s="10">
        <v>0</v>
      </c>
      <c r="CU51" s="10">
        <v>0</v>
      </c>
      <c r="CV51" s="10">
        <v>0</v>
      </c>
      <c r="CW51" s="10">
        <v>0</v>
      </c>
      <c r="CX51" s="10">
        <v>0</v>
      </c>
      <c r="CY51" s="10">
        <v>0</v>
      </c>
      <c r="CZ51" s="10">
        <v>0</v>
      </c>
      <c r="DA51" s="10">
        <v>0</v>
      </c>
      <c r="DB51" s="10">
        <v>0</v>
      </c>
      <c r="DC51" s="10">
        <v>0</v>
      </c>
      <c r="DD51" s="10">
        <v>0</v>
      </c>
      <c r="DE51" s="10">
        <v>0</v>
      </c>
      <c r="DF51" s="10">
        <v>0</v>
      </c>
      <c r="DG51" s="10">
        <v>0</v>
      </c>
      <c r="DH51" s="10">
        <v>0</v>
      </c>
      <c r="DI51" s="10">
        <v>0</v>
      </c>
      <c r="DJ51" s="10">
        <v>0</v>
      </c>
      <c r="DK51" s="10">
        <v>0</v>
      </c>
      <c r="DL51" s="10">
        <v>0</v>
      </c>
      <c r="DM51" s="10">
        <v>0</v>
      </c>
      <c r="DN51" s="10">
        <v>0</v>
      </c>
      <c r="DO51" s="10">
        <v>0</v>
      </c>
      <c r="DP51" s="10">
        <v>0</v>
      </c>
      <c r="DQ51" s="10">
        <v>0</v>
      </c>
      <c r="DR51" s="10">
        <v>0</v>
      </c>
      <c r="DS51" s="10">
        <v>0</v>
      </c>
      <c r="DT51" s="10">
        <v>0</v>
      </c>
      <c r="DU51" s="10">
        <v>0</v>
      </c>
      <c r="DV51" s="10">
        <v>0</v>
      </c>
      <c r="DW51" s="10">
        <v>0</v>
      </c>
      <c r="DX51" s="10">
        <v>0</v>
      </c>
      <c r="DY51" s="1">
        <v>0</v>
      </c>
      <c r="DZ51" s="10">
        <v>0</v>
      </c>
      <c r="EA51" s="10">
        <v>0</v>
      </c>
      <c r="EB51" s="10">
        <v>0</v>
      </c>
      <c r="EC51" s="10">
        <v>0</v>
      </c>
      <c r="ED51" s="10">
        <v>0</v>
      </c>
      <c r="EE51" s="10">
        <v>0</v>
      </c>
      <c r="EF51" s="10">
        <v>0</v>
      </c>
      <c r="EG51" s="10">
        <v>0</v>
      </c>
      <c r="EH51" s="10">
        <v>0</v>
      </c>
      <c r="EI51" s="10">
        <v>0</v>
      </c>
      <c r="EJ51" s="10">
        <v>0</v>
      </c>
      <c r="EK51" s="10">
        <v>0</v>
      </c>
      <c r="EL51" s="10">
        <v>0</v>
      </c>
      <c r="EM51" s="10">
        <v>0</v>
      </c>
      <c r="EN51" s="10">
        <v>0</v>
      </c>
      <c r="EO51" s="10">
        <v>0</v>
      </c>
      <c r="EP51" s="10">
        <v>0</v>
      </c>
      <c r="EQ51" s="10">
        <v>0</v>
      </c>
      <c r="ER51" s="10">
        <v>0</v>
      </c>
      <c r="ES51" s="10">
        <v>0</v>
      </c>
      <c r="ET51" s="10">
        <v>0</v>
      </c>
      <c r="EU51" s="10">
        <v>0</v>
      </c>
      <c r="EV51" s="10">
        <v>0</v>
      </c>
      <c r="EW51" s="10">
        <v>0</v>
      </c>
      <c r="EX51" s="10">
        <v>0</v>
      </c>
      <c r="EY51" s="10">
        <v>0</v>
      </c>
      <c r="EZ51" s="10">
        <v>0</v>
      </c>
      <c r="FA51" s="10">
        <v>0</v>
      </c>
      <c r="FB51" s="10">
        <v>0</v>
      </c>
      <c r="FC51" s="10">
        <v>0</v>
      </c>
      <c r="FD51" s="10">
        <v>0</v>
      </c>
      <c r="FE51" s="1">
        <v>40.619999999999997</v>
      </c>
      <c r="FF51" s="1">
        <v>42.02</v>
      </c>
      <c r="FG51" s="1">
        <v>0</v>
      </c>
      <c r="FH51" s="10">
        <v>0</v>
      </c>
      <c r="FI51" s="10">
        <v>0</v>
      </c>
      <c r="FJ51" s="10">
        <v>0</v>
      </c>
      <c r="FK51" s="10">
        <v>0</v>
      </c>
      <c r="FL51" s="10">
        <v>0</v>
      </c>
      <c r="FM51" s="10">
        <v>0</v>
      </c>
      <c r="FN51" s="10">
        <v>0</v>
      </c>
      <c r="FO51" s="1">
        <v>0</v>
      </c>
      <c r="FP51" s="10">
        <v>0</v>
      </c>
      <c r="FQ51" s="10">
        <v>0</v>
      </c>
      <c r="FR51" s="10">
        <v>0</v>
      </c>
      <c r="FS51" s="10">
        <v>0</v>
      </c>
      <c r="FT51" s="10">
        <v>0</v>
      </c>
      <c r="FU51" s="1">
        <v>0</v>
      </c>
      <c r="FV51" s="1">
        <v>0</v>
      </c>
      <c r="FW51" s="1">
        <v>0</v>
      </c>
      <c r="FX51" s="1">
        <v>0</v>
      </c>
      <c r="FY51" s="1">
        <v>0</v>
      </c>
      <c r="FZ51" s="10">
        <v>0</v>
      </c>
      <c r="GA51" s="1">
        <v>0</v>
      </c>
      <c r="GB51" s="1">
        <v>0</v>
      </c>
      <c r="GC51" s="10">
        <v>0</v>
      </c>
      <c r="GD51" s="1">
        <v>0</v>
      </c>
      <c r="GE51" s="10">
        <v>0</v>
      </c>
      <c r="GF51" s="10">
        <v>0</v>
      </c>
      <c r="GG51" s="1">
        <v>0</v>
      </c>
      <c r="GH51" s="1">
        <v>0</v>
      </c>
      <c r="GI51" s="10">
        <v>0</v>
      </c>
      <c r="GJ51" s="10">
        <v>0</v>
      </c>
      <c r="GK51" s="1">
        <v>0</v>
      </c>
      <c r="GL51" s="10">
        <v>0</v>
      </c>
      <c r="GM51" s="1">
        <v>0</v>
      </c>
      <c r="GN51" s="1">
        <v>0</v>
      </c>
      <c r="GO51" s="10">
        <v>0</v>
      </c>
      <c r="GP51" s="1">
        <v>0</v>
      </c>
      <c r="GQ51" s="1">
        <v>0</v>
      </c>
      <c r="GR51" s="1">
        <v>0</v>
      </c>
      <c r="GS51" s="1">
        <v>0</v>
      </c>
      <c r="GT51" s="10">
        <v>0</v>
      </c>
      <c r="GU51" s="1">
        <v>0</v>
      </c>
      <c r="GV51" s="1">
        <v>0</v>
      </c>
      <c r="GW51" s="1">
        <v>0</v>
      </c>
      <c r="GX51" s="1">
        <v>0</v>
      </c>
      <c r="GY51" s="10">
        <v>0</v>
      </c>
      <c r="GZ51" s="1">
        <v>21.85</v>
      </c>
      <c r="HA51" s="1">
        <v>24.75</v>
      </c>
      <c r="HB51" s="1">
        <v>0</v>
      </c>
      <c r="HC51" s="10">
        <v>0</v>
      </c>
      <c r="HD51" s="10">
        <v>0</v>
      </c>
      <c r="HE51" s="10">
        <v>0</v>
      </c>
      <c r="HF51" s="10">
        <v>0</v>
      </c>
      <c r="HG51" s="10">
        <v>0</v>
      </c>
      <c r="HH51" s="10">
        <v>0</v>
      </c>
      <c r="HI51" s="10">
        <v>0</v>
      </c>
      <c r="HJ51" s="10">
        <v>0</v>
      </c>
      <c r="HK51" s="10">
        <v>0</v>
      </c>
      <c r="HL51" s="10">
        <v>0</v>
      </c>
      <c r="HM51" s="10">
        <v>0</v>
      </c>
      <c r="HN51" s="10">
        <v>0</v>
      </c>
      <c r="HO51" s="10">
        <v>0</v>
      </c>
      <c r="HP51" s="1">
        <v>0</v>
      </c>
      <c r="HQ51" s="1">
        <v>0</v>
      </c>
      <c r="HR51" s="1">
        <v>0</v>
      </c>
      <c r="HS51" s="1">
        <v>0</v>
      </c>
      <c r="HT51" s="1">
        <v>0</v>
      </c>
      <c r="HU51" s="1">
        <v>0</v>
      </c>
      <c r="HV51" s="1">
        <v>0</v>
      </c>
      <c r="HW51" s="1">
        <v>0</v>
      </c>
      <c r="HX51" s="1">
        <v>0</v>
      </c>
      <c r="HY51" s="1">
        <v>0</v>
      </c>
      <c r="HZ51" s="1">
        <v>0</v>
      </c>
      <c r="IA51" s="1">
        <v>0</v>
      </c>
      <c r="IB51" s="1">
        <v>0</v>
      </c>
      <c r="IC51" s="1">
        <v>736.5</v>
      </c>
      <c r="ID51" s="1">
        <v>0</v>
      </c>
      <c r="IE51" s="1">
        <v>0</v>
      </c>
      <c r="IF51" s="1">
        <v>0</v>
      </c>
      <c r="IG51" s="1">
        <v>0</v>
      </c>
      <c r="IH51" s="1">
        <v>0</v>
      </c>
      <c r="II51" s="1">
        <v>0</v>
      </c>
      <c r="IJ51" s="1">
        <v>0</v>
      </c>
      <c r="IK51" s="1">
        <v>0</v>
      </c>
      <c r="IL51" s="1">
        <v>0</v>
      </c>
      <c r="IM51" s="1">
        <v>0</v>
      </c>
      <c r="IN51" s="1">
        <v>0</v>
      </c>
      <c r="IO51" s="1">
        <v>0</v>
      </c>
      <c r="IP51" s="1">
        <v>0</v>
      </c>
      <c r="IQ51" s="1">
        <v>0</v>
      </c>
      <c r="IR51" s="1">
        <v>0</v>
      </c>
      <c r="IS51" s="1">
        <v>0</v>
      </c>
      <c r="IT51" s="1">
        <v>0</v>
      </c>
      <c r="IU51" s="1">
        <v>0</v>
      </c>
      <c r="IV51" s="1">
        <v>0</v>
      </c>
      <c r="IW51" s="1">
        <v>0</v>
      </c>
      <c r="IX51" s="1">
        <v>0</v>
      </c>
      <c r="IY51" s="1">
        <v>0</v>
      </c>
      <c r="IZ51" s="1">
        <v>0</v>
      </c>
      <c r="JA51" s="1">
        <v>0</v>
      </c>
      <c r="JB51" s="1">
        <v>0</v>
      </c>
      <c r="JC51" s="1">
        <v>0</v>
      </c>
      <c r="JD51" s="1">
        <v>35.31</v>
      </c>
      <c r="JE51" s="1">
        <v>36.64</v>
      </c>
      <c r="JF51" s="1">
        <v>37.979999999999997</v>
      </c>
      <c r="JG51" s="1">
        <v>39.35</v>
      </c>
      <c r="JH51" s="1">
        <v>40.72</v>
      </c>
      <c r="JI51" s="1">
        <v>42.12</v>
      </c>
      <c r="JJ51" s="1">
        <v>155.56</v>
      </c>
      <c r="JK51" s="1">
        <v>187.62</v>
      </c>
      <c r="JL51" s="1">
        <v>219.73</v>
      </c>
      <c r="JM51" s="1">
        <v>251.78</v>
      </c>
      <c r="JN51" s="1">
        <v>283.67</v>
      </c>
      <c r="JO51" s="1">
        <v>315.3</v>
      </c>
      <c r="JP51" s="1">
        <v>116.01</v>
      </c>
      <c r="JQ51" s="1">
        <v>102.08</v>
      </c>
      <c r="JR51" s="1">
        <v>0</v>
      </c>
      <c r="JS51" s="1">
        <v>0</v>
      </c>
      <c r="JT51" s="1">
        <v>0</v>
      </c>
      <c r="JU51" s="1">
        <v>0</v>
      </c>
      <c r="JV51" s="1">
        <v>0</v>
      </c>
      <c r="JW51" s="1">
        <v>115.26</v>
      </c>
      <c r="JX51" s="1">
        <v>101.33</v>
      </c>
      <c r="JY51" s="1">
        <v>0</v>
      </c>
      <c r="JZ51" s="1">
        <v>0</v>
      </c>
      <c r="KA51" s="1">
        <v>0</v>
      </c>
      <c r="KB51" s="1">
        <v>0</v>
      </c>
      <c r="KC51" s="1">
        <v>0</v>
      </c>
    </row>
    <row r="52" spans="1:289" x14ac:dyDescent="0.15">
      <c r="A52" s="8">
        <v>60</v>
      </c>
      <c r="B52" s="1">
        <v>70.349999999999994</v>
      </c>
      <c r="C52" s="1">
        <v>116.25</v>
      </c>
      <c r="D52" s="1">
        <v>107.67</v>
      </c>
      <c r="E52" s="1">
        <v>100.74</v>
      </c>
      <c r="F52" s="1">
        <v>95.09</v>
      </c>
      <c r="G52" s="1">
        <v>90.45</v>
      </c>
      <c r="H52" s="1">
        <v>86.61</v>
      </c>
      <c r="I52" s="10">
        <v>0</v>
      </c>
      <c r="J52" s="10">
        <v>0</v>
      </c>
      <c r="K52" s="10">
        <v>0</v>
      </c>
      <c r="L52" s="10">
        <v>0</v>
      </c>
      <c r="M52" s="10">
        <v>0</v>
      </c>
      <c r="N52" s="10">
        <v>0</v>
      </c>
      <c r="O52" s="10">
        <v>0</v>
      </c>
      <c r="P52" s="10">
        <v>0</v>
      </c>
      <c r="Q52" s="10">
        <v>0</v>
      </c>
      <c r="R52" s="10">
        <v>0</v>
      </c>
      <c r="S52" s="10">
        <v>0</v>
      </c>
      <c r="T52" s="10">
        <v>0</v>
      </c>
      <c r="U52" s="10">
        <v>0</v>
      </c>
      <c r="V52" s="10">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
        <v>161.69</v>
      </c>
      <c r="BX52" s="1">
        <v>0</v>
      </c>
      <c r="BY52" s="10">
        <v>0</v>
      </c>
      <c r="BZ52" s="1">
        <v>0</v>
      </c>
      <c r="CA52" s="6">
        <v>166.21</v>
      </c>
      <c r="CB52" s="1">
        <v>0</v>
      </c>
      <c r="CC52" s="10">
        <v>0</v>
      </c>
      <c r="CD52" s="10">
        <v>0</v>
      </c>
      <c r="CE52" s="10">
        <v>0</v>
      </c>
      <c r="CF52" s="10">
        <v>0</v>
      </c>
      <c r="CG52" s="10">
        <v>0</v>
      </c>
      <c r="CH52" s="10">
        <v>0</v>
      </c>
      <c r="CI52" s="10">
        <v>0</v>
      </c>
      <c r="CJ52" s="10">
        <v>0</v>
      </c>
      <c r="CK52" s="10">
        <v>0</v>
      </c>
      <c r="CL52" s="10">
        <v>0</v>
      </c>
      <c r="CM52" s="10">
        <v>0</v>
      </c>
      <c r="CN52" s="10">
        <v>0</v>
      </c>
      <c r="CO52" s="10">
        <v>0</v>
      </c>
      <c r="CP52" s="1">
        <v>112.69</v>
      </c>
      <c r="CQ52" s="1">
        <v>0</v>
      </c>
      <c r="CR52" s="1">
        <v>0</v>
      </c>
      <c r="CS52" s="10">
        <v>0</v>
      </c>
      <c r="CT52" s="10">
        <v>0</v>
      </c>
      <c r="CU52" s="10">
        <v>0</v>
      </c>
      <c r="CV52" s="10">
        <v>0</v>
      </c>
      <c r="CW52" s="10">
        <v>0</v>
      </c>
      <c r="CX52" s="10">
        <v>0</v>
      </c>
      <c r="CY52" s="10">
        <v>0</v>
      </c>
      <c r="CZ52" s="10">
        <v>0</v>
      </c>
      <c r="DA52" s="10">
        <v>0</v>
      </c>
      <c r="DB52" s="10">
        <v>0</v>
      </c>
      <c r="DC52" s="10">
        <v>0</v>
      </c>
      <c r="DD52" s="10">
        <v>0</v>
      </c>
      <c r="DE52" s="10">
        <v>0</v>
      </c>
      <c r="DF52" s="10">
        <v>0</v>
      </c>
      <c r="DG52" s="10">
        <v>0</v>
      </c>
      <c r="DH52" s="10">
        <v>0</v>
      </c>
      <c r="DI52" s="10">
        <v>0</v>
      </c>
      <c r="DJ52" s="10">
        <v>0</v>
      </c>
      <c r="DK52" s="10">
        <v>0</v>
      </c>
      <c r="DL52" s="10">
        <v>0</v>
      </c>
      <c r="DM52" s="10">
        <v>0</v>
      </c>
      <c r="DN52" s="10">
        <v>0</v>
      </c>
      <c r="DO52" s="10">
        <v>0</v>
      </c>
      <c r="DP52" s="10">
        <v>0</v>
      </c>
      <c r="DQ52" s="10">
        <v>0</v>
      </c>
      <c r="DR52" s="10">
        <v>0</v>
      </c>
      <c r="DS52" s="10">
        <v>0</v>
      </c>
      <c r="DT52" s="10">
        <v>0</v>
      </c>
      <c r="DU52" s="10">
        <v>0</v>
      </c>
      <c r="DV52" s="10">
        <v>0</v>
      </c>
      <c r="DW52" s="10">
        <v>0</v>
      </c>
      <c r="DX52" s="1">
        <v>0</v>
      </c>
      <c r="DY52" s="10">
        <v>0</v>
      </c>
      <c r="DZ52" s="10">
        <v>0</v>
      </c>
      <c r="EA52" s="10">
        <v>0</v>
      </c>
      <c r="EB52" s="10">
        <v>0</v>
      </c>
      <c r="EC52" s="10">
        <v>0</v>
      </c>
      <c r="ED52" s="10">
        <v>0</v>
      </c>
      <c r="EE52" s="10">
        <v>0</v>
      </c>
      <c r="EF52" s="10">
        <v>0</v>
      </c>
      <c r="EG52" s="10">
        <v>0</v>
      </c>
      <c r="EH52" s="10">
        <v>0</v>
      </c>
      <c r="EI52" s="10">
        <v>0</v>
      </c>
      <c r="EJ52" s="10">
        <v>0</v>
      </c>
      <c r="EK52" s="10">
        <v>0</v>
      </c>
      <c r="EL52" s="10">
        <v>0</v>
      </c>
      <c r="EM52" s="10">
        <v>0</v>
      </c>
      <c r="EN52" s="10">
        <v>0</v>
      </c>
      <c r="EO52" s="10">
        <v>0</v>
      </c>
      <c r="EP52" s="10">
        <v>0</v>
      </c>
      <c r="EQ52" s="10">
        <v>0</v>
      </c>
      <c r="ER52" s="10">
        <v>0</v>
      </c>
      <c r="ES52" s="10">
        <v>0</v>
      </c>
      <c r="ET52" s="10">
        <v>0</v>
      </c>
      <c r="EU52" s="10">
        <v>0</v>
      </c>
      <c r="EV52" s="10">
        <v>0</v>
      </c>
      <c r="EW52" s="10">
        <v>0</v>
      </c>
      <c r="EX52" s="10">
        <v>0</v>
      </c>
      <c r="EY52" s="10">
        <v>0</v>
      </c>
      <c r="EZ52" s="10">
        <v>0</v>
      </c>
      <c r="FA52" s="10">
        <v>0</v>
      </c>
      <c r="FB52" s="10">
        <v>0</v>
      </c>
      <c r="FC52" s="10">
        <v>0</v>
      </c>
      <c r="FD52" s="10">
        <v>0</v>
      </c>
      <c r="FE52" s="1">
        <v>43.94</v>
      </c>
      <c r="FF52" s="1">
        <v>0</v>
      </c>
      <c r="FG52" s="10">
        <v>0</v>
      </c>
      <c r="FH52" s="10">
        <v>0</v>
      </c>
      <c r="FI52" s="10">
        <v>0</v>
      </c>
      <c r="FJ52" s="10">
        <v>0</v>
      </c>
      <c r="FK52" s="10">
        <v>0</v>
      </c>
      <c r="FL52" s="10">
        <v>0</v>
      </c>
      <c r="FM52" s="10">
        <v>0</v>
      </c>
      <c r="FN52" s="1">
        <v>0</v>
      </c>
      <c r="FO52" s="10">
        <v>0</v>
      </c>
      <c r="FP52" s="10">
        <v>0</v>
      </c>
      <c r="FQ52" s="10">
        <v>0</v>
      </c>
      <c r="FR52" s="10">
        <v>0</v>
      </c>
      <c r="FS52" s="10">
        <v>0</v>
      </c>
      <c r="FT52" s="10">
        <v>0</v>
      </c>
      <c r="FU52" s="10">
        <v>0</v>
      </c>
      <c r="FV52" s="1">
        <v>0</v>
      </c>
      <c r="FW52" s="1">
        <v>0</v>
      </c>
      <c r="FX52" s="1">
        <v>0</v>
      </c>
      <c r="FY52" s="1">
        <v>0</v>
      </c>
      <c r="FZ52" s="10">
        <v>0</v>
      </c>
      <c r="GA52" s="1">
        <v>0</v>
      </c>
      <c r="GB52" s="1">
        <v>0</v>
      </c>
      <c r="GC52" s="10">
        <v>0</v>
      </c>
      <c r="GD52" s="1">
        <v>0</v>
      </c>
      <c r="GE52" s="10">
        <v>0</v>
      </c>
      <c r="GF52" s="10">
        <v>0</v>
      </c>
      <c r="GG52" s="1">
        <v>0</v>
      </c>
      <c r="GH52" s="1">
        <v>0</v>
      </c>
      <c r="GI52" s="10">
        <v>0</v>
      </c>
      <c r="GJ52" s="10">
        <v>0</v>
      </c>
      <c r="GK52" s="1">
        <v>0</v>
      </c>
      <c r="GL52" s="10">
        <v>0</v>
      </c>
      <c r="GM52" s="1">
        <v>0</v>
      </c>
      <c r="GN52" s="1">
        <v>0</v>
      </c>
      <c r="GO52" s="10">
        <v>0</v>
      </c>
      <c r="GP52" s="1">
        <v>0</v>
      </c>
      <c r="GQ52" s="1">
        <v>0</v>
      </c>
      <c r="GR52" s="1">
        <v>0</v>
      </c>
      <c r="GS52" s="1">
        <v>0</v>
      </c>
      <c r="GT52" s="10">
        <v>0</v>
      </c>
      <c r="GU52" s="1">
        <v>0</v>
      </c>
      <c r="GV52" s="1">
        <v>0</v>
      </c>
      <c r="GW52" s="1">
        <v>0</v>
      </c>
      <c r="GX52" s="1">
        <v>0</v>
      </c>
      <c r="GY52" s="10">
        <v>0</v>
      </c>
      <c r="GZ52" s="1">
        <v>23.66</v>
      </c>
      <c r="HA52" s="1">
        <v>0</v>
      </c>
      <c r="HB52" s="10">
        <v>0</v>
      </c>
      <c r="HC52" s="10">
        <v>0</v>
      </c>
      <c r="HD52" s="10">
        <v>0</v>
      </c>
      <c r="HE52" s="10">
        <v>0</v>
      </c>
      <c r="HF52" s="10">
        <v>0</v>
      </c>
      <c r="HG52" s="10">
        <v>0</v>
      </c>
      <c r="HH52" s="10">
        <v>0</v>
      </c>
      <c r="HI52" s="10">
        <v>0</v>
      </c>
      <c r="HJ52" s="10">
        <v>0</v>
      </c>
      <c r="HK52" s="10">
        <v>0</v>
      </c>
      <c r="HL52" s="10">
        <v>0</v>
      </c>
      <c r="HM52" s="10">
        <v>0</v>
      </c>
      <c r="HN52" s="10">
        <v>0</v>
      </c>
      <c r="HO52" s="10">
        <v>0</v>
      </c>
      <c r="HP52" s="1">
        <v>0</v>
      </c>
      <c r="HQ52" s="1">
        <v>0</v>
      </c>
      <c r="HR52" s="1">
        <v>0</v>
      </c>
      <c r="HS52" s="1">
        <v>0</v>
      </c>
      <c r="HT52" s="1">
        <v>0</v>
      </c>
      <c r="HU52" s="1">
        <v>0</v>
      </c>
      <c r="HV52" s="1">
        <v>0</v>
      </c>
      <c r="HW52" s="1">
        <v>0</v>
      </c>
      <c r="HX52" s="1">
        <v>0</v>
      </c>
      <c r="HY52" s="1">
        <v>0</v>
      </c>
      <c r="HZ52" s="1">
        <v>0</v>
      </c>
      <c r="IA52" s="1">
        <v>0</v>
      </c>
      <c r="IB52" s="1">
        <v>0</v>
      </c>
      <c r="IC52" s="1">
        <v>736.5</v>
      </c>
      <c r="ID52" s="1">
        <v>0</v>
      </c>
      <c r="IE52" s="1">
        <v>0</v>
      </c>
      <c r="IF52" s="1">
        <v>0</v>
      </c>
      <c r="IG52" s="1">
        <v>0</v>
      </c>
      <c r="IH52" s="1">
        <v>0</v>
      </c>
      <c r="II52" s="1">
        <v>0</v>
      </c>
      <c r="IJ52" s="1">
        <v>0</v>
      </c>
      <c r="IK52" s="1">
        <v>0</v>
      </c>
      <c r="IL52" s="1">
        <v>0</v>
      </c>
      <c r="IM52" s="1">
        <v>0</v>
      </c>
      <c r="IN52" s="1">
        <v>0</v>
      </c>
      <c r="IO52" s="1">
        <v>0</v>
      </c>
      <c r="IP52" s="1">
        <v>0</v>
      </c>
      <c r="IQ52" s="1">
        <v>0</v>
      </c>
      <c r="IR52" s="1">
        <v>0</v>
      </c>
      <c r="IS52" s="1">
        <v>0</v>
      </c>
      <c r="IT52" s="1">
        <v>0</v>
      </c>
      <c r="IU52" s="1">
        <v>0</v>
      </c>
      <c r="IV52" s="1">
        <v>0</v>
      </c>
      <c r="IW52" s="1">
        <v>0</v>
      </c>
      <c r="IX52" s="1">
        <v>0</v>
      </c>
      <c r="IY52" s="1">
        <v>0</v>
      </c>
      <c r="IZ52" s="1">
        <v>0</v>
      </c>
      <c r="JA52" s="1">
        <v>0</v>
      </c>
      <c r="JB52" s="1">
        <v>0</v>
      </c>
      <c r="JC52" s="1">
        <v>0</v>
      </c>
      <c r="JD52" s="1">
        <v>38.21</v>
      </c>
      <c r="JE52" s="1">
        <v>39.619999999999997</v>
      </c>
      <c r="JF52" s="1">
        <v>41.05</v>
      </c>
      <c r="JG52" s="1">
        <v>42.5</v>
      </c>
      <c r="JH52" s="1">
        <v>43.96</v>
      </c>
      <c r="JI52" s="1">
        <v>45.44</v>
      </c>
      <c r="JJ52" s="1">
        <v>167.62</v>
      </c>
      <c r="JK52" s="1">
        <v>201.77</v>
      </c>
      <c r="JL52" s="1">
        <v>235.87</v>
      </c>
      <c r="JM52" s="1">
        <v>269.8</v>
      </c>
      <c r="JN52" s="1">
        <v>303.44</v>
      </c>
      <c r="JO52" s="1">
        <v>336.66</v>
      </c>
      <c r="JP52" s="1">
        <v>118.21</v>
      </c>
      <c r="JQ52" s="1">
        <v>104.49</v>
      </c>
      <c r="JR52" s="1">
        <v>0</v>
      </c>
      <c r="JS52" s="1">
        <v>0</v>
      </c>
      <c r="JT52" s="1">
        <v>0</v>
      </c>
      <c r="JU52" s="1">
        <v>0</v>
      </c>
      <c r="JV52" s="1">
        <v>0</v>
      </c>
      <c r="JW52" s="1">
        <v>117.46</v>
      </c>
      <c r="JX52" s="1">
        <v>103.74</v>
      </c>
      <c r="JY52" s="1">
        <v>0</v>
      </c>
      <c r="JZ52" s="1">
        <v>0</v>
      </c>
      <c r="KA52" s="1">
        <v>0</v>
      </c>
      <c r="KB52" s="1">
        <v>0</v>
      </c>
      <c r="KC52" s="1">
        <v>0</v>
      </c>
    </row>
    <row r="53" spans="1:289" x14ac:dyDescent="0.15">
      <c r="A53" s="8">
        <v>61</v>
      </c>
      <c r="B53" s="1">
        <v>73.84</v>
      </c>
      <c r="C53" s="1">
        <v>117.88</v>
      </c>
      <c r="D53" s="1">
        <v>109.38</v>
      </c>
      <c r="E53" s="1">
        <v>102.54</v>
      </c>
      <c r="F53" s="1">
        <v>96.97</v>
      </c>
      <c r="G53" s="3">
        <v>92.42</v>
      </c>
      <c r="H53" s="10">
        <v>0</v>
      </c>
      <c r="I53" s="10">
        <v>0</v>
      </c>
      <c r="J53" s="10">
        <v>0</v>
      </c>
      <c r="K53" s="10">
        <v>0</v>
      </c>
      <c r="L53" s="10">
        <v>0</v>
      </c>
      <c r="M53" s="10">
        <v>0</v>
      </c>
      <c r="N53" s="10">
        <v>0</v>
      </c>
      <c r="O53" s="10">
        <v>0</v>
      </c>
      <c r="P53" s="10">
        <v>0</v>
      </c>
      <c r="Q53" s="10">
        <v>0</v>
      </c>
      <c r="R53" s="10">
        <v>0</v>
      </c>
      <c r="S53" s="10">
        <v>0</v>
      </c>
      <c r="T53" s="10">
        <v>0</v>
      </c>
      <c r="U53" s="10">
        <v>0</v>
      </c>
      <c r="V53" s="10">
        <v>0</v>
      </c>
      <c r="W53" s="10">
        <v>0</v>
      </c>
      <c r="X53" s="10">
        <v>0</v>
      </c>
      <c r="Y53" s="10">
        <v>0</v>
      </c>
      <c r="Z53" s="10">
        <v>0</v>
      </c>
      <c r="AA53" s="10">
        <v>0</v>
      </c>
      <c r="AB53" s="10">
        <v>0</v>
      </c>
      <c r="AC53" s="10">
        <v>0</v>
      </c>
      <c r="AD53" s="10">
        <v>0</v>
      </c>
      <c r="AE53" s="10">
        <v>0</v>
      </c>
      <c r="AF53" s="1">
        <v>0</v>
      </c>
      <c r="AG53" s="10">
        <v>0</v>
      </c>
      <c r="AH53" s="10">
        <v>0</v>
      </c>
      <c r="AI53" s="10">
        <v>0</v>
      </c>
      <c r="AJ53" s="10">
        <v>0</v>
      </c>
      <c r="AK53" s="10">
        <v>0</v>
      </c>
      <c r="AL53" s="10">
        <v>0</v>
      </c>
      <c r="AM53" s="10">
        <v>0</v>
      </c>
      <c r="AN53" s="10">
        <v>0</v>
      </c>
      <c r="AO53" s="10">
        <v>0</v>
      </c>
      <c r="AP53" s="10">
        <v>0</v>
      </c>
      <c r="AQ53" s="10">
        <v>0</v>
      </c>
      <c r="AR53" s="10">
        <v>0</v>
      </c>
      <c r="AS53" s="10">
        <v>0</v>
      </c>
      <c r="AT53" s="10">
        <v>0</v>
      </c>
      <c r="AU53" s="10">
        <v>0</v>
      </c>
      <c r="AV53" s="10">
        <v>0</v>
      </c>
      <c r="AW53" s="10">
        <v>0</v>
      </c>
      <c r="AX53" s="10">
        <v>0</v>
      </c>
      <c r="AY53" s="10">
        <v>0</v>
      </c>
      <c r="AZ53" s="10">
        <v>0</v>
      </c>
      <c r="BA53" s="10">
        <v>0</v>
      </c>
      <c r="BB53" s="10">
        <v>0</v>
      </c>
      <c r="BC53" s="10">
        <v>0</v>
      </c>
      <c r="BD53" s="10">
        <v>0</v>
      </c>
      <c r="BE53" s="10">
        <v>0</v>
      </c>
      <c r="BF53" s="10">
        <v>0</v>
      </c>
      <c r="BG53" s="10">
        <v>0</v>
      </c>
      <c r="BH53" s="10">
        <v>0</v>
      </c>
      <c r="BI53" s="10">
        <v>0</v>
      </c>
      <c r="BJ53" s="10">
        <v>0</v>
      </c>
      <c r="BK53" s="10">
        <v>0</v>
      </c>
      <c r="BL53" s="10">
        <v>0</v>
      </c>
      <c r="BM53" s="10">
        <v>0</v>
      </c>
      <c r="BN53" s="10">
        <v>0</v>
      </c>
      <c r="BO53" s="10">
        <v>0</v>
      </c>
      <c r="BP53" s="10">
        <v>0</v>
      </c>
      <c r="BQ53" s="10">
        <v>0</v>
      </c>
      <c r="BR53" s="10">
        <v>0</v>
      </c>
      <c r="BS53" s="10">
        <v>0</v>
      </c>
      <c r="BT53" s="10">
        <v>0</v>
      </c>
      <c r="BU53" s="10">
        <v>0</v>
      </c>
      <c r="BV53" s="1">
        <v>0</v>
      </c>
      <c r="BW53" s="1">
        <v>0</v>
      </c>
      <c r="BX53" s="1">
        <v>0</v>
      </c>
      <c r="BY53" s="1">
        <v>0</v>
      </c>
      <c r="BZ53" s="1">
        <v>0</v>
      </c>
      <c r="CA53" s="1">
        <v>0</v>
      </c>
      <c r="CB53" s="10">
        <v>0</v>
      </c>
      <c r="CC53" s="10">
        <v>0</v>
      </c>
      <c r="CD53" s="10">
        <v>0</v>
      </c>
      <c r="CE53" s="10">
        <v>0</v>
      </c>
      <c r="CF53" s="10">
        <v>0</v>
      </c>
      <c r="CG53" s="1">
        <v>0</v>
      </c>
      <c r="CH53" s="10">
        <v>0</v>
      </c>
      <c r="CI53" s="1">
        <v>0</v>
      </c>
      <c r="CJ53" s="1">
        <v>0</v>
      </c>
      <c r="CK53" s="1">
        <v>0</v>
      </c>
      <c r="CL53" s="1">
        <v>0</v>
      </c>
      <c r="CM53" s="1">
        <v>0</v>
      </c>
      <c r="CN53" s="1">
        <v>0</v>
      </c>
      <c r="CO53" s="1">
        <v>0</v>
      </c>
      <c r="CP53" s="1">
        <v>0</v>
      </c>
      <c r="CQ53" s="1">
        <v>0</v>
      </c>
      <c r="CR53" s="10">
        <v>0</v>
      </c>
      <c r="CS53" s="10">
        <v>0</v>
      </c>
      <c r="CT53" s="10">
        <v>0</v>
      </c>
      <c r="CU53" s="1">
        <v>0</v>
      </c>
      <c r="CV53" s="10">
        <v>0</v>
      </c>
      <c r="CW53" s="10">
        <v>0</v>
      </c>
      <c r="CX53" s="10">
        <v>0</v>
      </c>
      <c r="CY53" s="10">
        <v>0</v>
      </c>
      <c r="CZ53" s="1">
        <v>0</v>
      </c>
      <c r="DA53" s="10">
        <v>0</v>
      </c>
      <c r="DB53" s="1">
        <v>0</v>
      </c>
      <c r="DC53" s="1">
        <v>0</v>
      </c>
      <c r="DD53" s="10">
        <v>0</v>
      </c>
      <c r="DE53" s="1">
        <v>0</v>
      </c>
      <c r="DF53" s="1">
        <v>0</v>
      </c>
      <c r="DG53" s="1">
        <v>0</v>
      </c>
      <c r="DH53" s="1">
        <v>0</v>
      </c>
      <c r="DI53" s="1">
        <v>0</v>
      </c>
      <c r="DJ53" s="1">
        <v>0</v>
      </c>
      <c r="DK53" s="1">
        <v>0</v>
      </c>
      <c r="DL53" s="1">
        <v>0</v>
      </c>
      <c r="DM53" s="1">
        <v>0</v>
      </c>
      <c r="DN53" s="1">
        <v>0</v>
      </c>
      <c r="DO53" s="1">
        <v>0</v>
      </c>
      <c r="DP53" s="1">
        <v>0</v>
      </c>
      <c r="DQ53" s="1">
        <v>0</v>
      </c>
      <c r="DR53" s="1">
        <v>0</v>
      </c>
      <c r="DS53" s="10">
        <v>0</v>
      </c>
      <c r="DT53" s="1">
        <v>0</v>
      </c>
      <c r="DU53" s="1">
        <v>0</v>
      </c>
      <c r="DV53" s="10">
        <v>0</v>
      </c>
      <c r="DW53" s="1">
        <v>0</v>
      </c>
      <c r="DX53" s="10">
        <v>0</v>
      </c>
      <c r="DY53" s="10">
        <v>0</v>
      </c>
      <c r="DZ53" s="10">
        <v>0</v>
      </c>
      <c r="EA53" s="1">
        <v>0</v>
      </c>
      <c r="EB53" s="1">
        <v>0</v>
      </c>
      <c r="EC53" s="1">
        <v>0</v>
      </c>
      <c r="ED53" s="1">
        <v>0</v>
      </c>
      <c r="EE53" s="1">
        <v>0</v>
      </c>
      <c r="EF53" s="1">
        <v>0</v>
      </c>
      <c r="EG53" s="1">
        <v>0</v>
      </c>
      <c r="EH53" s="1">
        <v>0</v>
      </c>
      <c r="EI53" s="1">
        <v>0</v>
      </c>
      <c r="EJ53" s="1">
        <v>0</v>
      </c>
      <c r="EK53" s="1">
        <v>0</v>
      </c>
      <c r="EL53" s="1">
        <v>0</v>
      </c>
      <c r="EM53" s="1">
        <v>0</v>
      </c>
      <c r="EN53" s="1">
        <v>0</v>
      </c>
      <c r="EO53" s="1">
        <v>0</v>
      </c>
      <c r="EP53" s="1">
        <v>0</v>
      </c>
      <c r="EQ53" s="1">
        <v>0</v>
      </c>
      <c r="ER53" s="1">
        <v>0</v>
      </c>
      <c r="ES53" s="1">
        <v>0</v>
      </c>
      <c r="ET53" s="1">
        <v>0</v>
      </c>
      <c r="EU53" s="1">
        <v>0</v>
      </c>
      <c r="EV53" s="1">
        <v>0</v>
      </c>
      <c r="EW53" s="1">
        <v>0</v>
      </c>
      <c r="EX53" s="1">
        <v>0</v>
      </c>
      <c r="EY53" s="1">
        <v>0</v>
      </c>
      <c r="EZ53" s="1">
        <v>0</v>
      </c>
      <c r="FA53" s="1">
        <v>0</v>
      </c>
      <c r="FB53" s="1">
        <v>0</v>
      </c>
      <c r="FC53" s="1">
        <v>0</v>
      </c>
      <c r="FD53" s="1">
        <v>0</v>
      </c>
      <c r="FE53" s="1">
        <v>0</v>
      </c>
      <c r="FF53" s="10">
        <v>0</v>
      </c>
      <c r="FG53" s="10">
        <v>0</v>
      </c>
      <c r="FH53" s="10">
        <v>0</v>
      </c>
      <c r="FI53" s="10">
        <v>0</v>
      </c>
      <c r="FJ53" s="10">
        <v>0</v>
      </c>
      <c r="FK53" s="10">
        <v>0</v>
      </c>
      <c r="FL53" s="1">
        <v>0</v>
      </c>
      <c r="FM53" s="1">
        <v>0</v>
      </c>
      <c r="FN53" s="10">
        <v>0</v>
      </c>
      <c r="FO53" s="1">
        <v>0</v>
      </c>
      <c r="FP53" s="1">
        <v>0</v>
      </c>
      <c r="FQ53" s="1">
        <v>0</v>
      </c>
      <c r="FR53" s="1">
        <v>0</v>
      </c>
      <c r="FS53" s="1">
        <v>0</v>
      </c>
      <c r="FT53" s="1">
        <v>0</v>
      </c>
      <c r="FU53" s="1">
        <v>0</v>
      </c>
      <c r="FV53" s="1">
        <v>0</v>
      </c>
      <c r="FW53" s="1">
        <v>0</v>
      </c>
      <c r="FX53" s="1">
        <v>0</v>
      </c>
      <c r="FY53" s="1">
        <v>0</v>
      </c>
      <c r="FZ53" s="1">
        <v>0</v>
      </c>
      <c r="GA53" s="1">
        <v>0</v>
      </c>
      <c r="GB53" s="1">
        <v>0</v>
      </c>
      <c r="GC53" s="1">
        <v>0</v>
      </c>
      <c r="GD53" s="1">
        <v>0</v>
      </c>
      <c r="GE53" s="1">
        <v>0</v>
      </c>
      <c r="GF53" s="1">
        <v>0</v>
      </c>
      <c r="GG53" s="1">
        <v>0</v>
      </c>
      <c r="GH53" s="1">
        <v>0</v>
      </c>
      <c r="GI53" s="1">
        <v>0</v>
      </c>
      <c r="GJ53" s="1">
        <v>0</v>
      </c>
      <c r="GK53" s="1">
        <v>0</v>
      </c>
      <c r="GL53" s="1">
        <v>0</v>
      </c>
      <c r="GM53" s="1">
        <v>0</v>
      </c>
      <c r="GN53" s="1">
        <v>0</v>
      </c>
      <c r="GO53" s="1">
        <v>0</v>
      </c>
      <c r="GP53" s="1">
        <v>0</v>
      </c>
      <c r="GQ53" s="1">
        <v>0</v>
      </c>
      <c r="GR53" s="1">
        <v>0</v>
      </c>
      <c r="GS53" s="1">
        <v>0</v>
      </c>
      <c r="GT53" s="1">
        <v>0</v>
      </c>
      <c r="GU53" s="1">
        <v>0</v>
      </c>
      <c r="GV53" s="1">
        <v>0</v>
      </c>
      <c r="GW53" s="1">
        <v>0</v>
      </c>
      <c r="GX53" s="1">
        <v>0</v>
      </c>
      <c r="GY53" s="1">
        <v>0</v>
      </c>
      <c r="GZ53" s="1">
        <v>0</v>
      </c>
      <c r="HA53" s="10">
        <v>0</v>
      </c>
      <c r="HB53" s="10">
        <v>0</v>
      </c>
      <c r="HC53" s="10">
        <v>0</v>
      </c>
      <c r="HD53" s="10">
        <v>0</v>
      </c>
      <c r="HE53" s="1">
        <v>0</v>
      </c>
      <c r="HF53" s="10">
        <v>0</v>
      </c>
      <c r="HG53" s="10">
        <v>0</v>
      </c>
      <c r="HH53" s="10">
        <v>0</v>
      </c>
      <c r="HI53" s="10">
        <v>0</v>
      </c>
      <c r="HJ53" s="10">
        <v>0</v>
      </c>
      <c r="HK53" s="10">
        <v>0</v>
      </c>
      <c r="HL53" s="10">
        <v>0</v>
      </c>
      <c r="HM53" s="10">
        <v>0</v>
      </c>
      <c r="HN53" s="10">
        <v>0</v>
      </c>
      <c r="HO53" s="10">
        <v>0</v>
      </c>
      <c r="HP53" s="1">
        <v>0</v>
      </c>
      <c r="HQ53" s="1">
        <v>0</v>
      </c>
      <c r="HR53" s="1">
        <v>0</v>
      </c>
      <c r="HS53" s="1">
        <v>0</v>
      </c>
      <c r="HT53" s="1">
        <v>0</v>
      </c>
      <c r="HU53" s="1">
        <v>0</v>
      </c>
      <c r="HV53" s="1">
        <v>0</v>
      </c>
      <c r="HW53" s="1">
        <v>0</v>
      </c>
      <c r="HX53" s="1">
        <v>0</v>
      </c>
      <c r="HY53" s="1">
        <v>0</v>
      </c>
      <c r="HZ53" s="1">
        <v>0</v>
      </c>
      <c r="IA53" s="1">
        <v>0</v>
      </c>
      <c r="IB53" s="1">
        <v>0</v>
      </c>
      <c r="IC53" s="1">
        <v>0</v>
      </c>
      <c r="ID53" s="1">
        <v>0</v>
      </c>
      <c r="IE53" s="1">
        <v>0</v>
      </c>
      <c r="IF53" s="1">
        <v>0</v>
      </c>
      <c r="IG53" s="1">
        <v>0</v>
      </c>
      <c r="IH53" s="1">
        <v>0</v>
      </c>
      <c r="II53" s="1">
        <v>0</v>
      </c>
      <c r="IJ53" s="1">
        <v>0</v>
      </c>
      <c r="IK53" s="1">
        <v>0</v>
      </c>
      <c r="IL53" s="1">
        <v>0</v>
      </c>
      <c r="IM53" s="1">
        <v>0</v>
      </c>
      <c r="IN53" s="1">
        <v>0</v>
      </c>
      <c r="IO53" s="1">
        <v>0</v>
      </c>
      <c r="IP53" s="1">
        <v>0</v>
      </c>
      <c r="IQ53" s="1">
        <v>0</v>
      </c>
      <c r="IR53" s="1">
        <v>0</v>
      </c>
      <c r="IS53" s="1">
        <v>0</v>
      </c>
      <c r="IT53" s="1">
        <v>0</v>
      </c>
      <c r="IU53" s="1">
        <v>0</v>
      </c>
      <c r="IV53" s="1">
        <v>0</v>
      </c>
      <c r="IW53" s="1">
        <v>0</v>
      </c>
      <c r="IX53" s="1">
        <v>0</v>
      </c>
      <c r="IY53" s="1">
        <v>0</v>
      </c>
      <c r="IZ53" s="1">
        <v>0</v>
      </c>
      <c r="JA53" s="1">
        <v>0</v>
      </c>
      <c r="JB53" s="1">
        <v>0</v>
      </c>
      <c r="JC53" s="1">
        <v>0</v>
      </c>
      <c r="JD53" s="1">
        <v>0</v>
      </c>
      <c r="JE53" s="1">
        <v>0</v>
      </c>
      <c r="JF53" s="1">
        <v>0</v>
      </c>
      <c r="JG53" s="1">
        <v>0</v>
      </c>
      <c r="JH53" s="1">
        <v>0</v>
      </c>
      <c r="JI53" s="1">
        <v>0</v>
      </c>
      <c r="JJ53" s="1">
        <v>0</v>
      </c>
      <c r="JK53" s="1">
        <v>0</v>
      </c>
      <c r="JL53" s="1">
        <v>0</v>
      </c>
      <c r="JM53" s="1">
        <v>0</v>
      </c>
      <c r="JN53" s="1">
        <v>0</v>
      </c>
      <c r="JO53" s="1">
        <v>0</v>
      </c>
      <c r="JP53" s="1">
        <v>0</v>
      </c>
      <c r="JQ53" s="1">
        <v>0</v>
      </c>
      <c r="JR53" s="1">
        <v>0</v>
      </c>
      <c r="JS53" s="1">
        <v>0</v>
      </c>
      <c r="JT53" s="1">
        <v>0</v>
      </c>
      <c r="JU53" s="1">
        <v>0</v>
      </c>
      <c r="JV53" s="1">
        <v>0</v>
      </c>
      <c r="JW53" s="1">
        <v>0</v>
      </c>
      <c r="JX53" s="1">
        <v>0</v>
      </c>
      <c r="JY53" s="1">
        <v>0</v>
      </c>
      <c r="JZ53" s="1">
        <v>0</v>
      </c>
      <c r="KA53" s="1">
        <v>0</v>
      </c>
      <c r="KB53" s="1">
        <v>0</v>
      </c>
      <c r="KC53" s="1">
        <v>0</v>
      </c>
    </row>
    <row r="54" spans="1:289" x14ac:dyDescent="0.15">
      <c r="A54" s="8">
        <v>62</v>
      </c>
      <c r="B54" s="1">
        <v>77.52</v>
      </c>
      <c r="C54" s="1">
        <v>119.62</v>
      </c>
      <c r="D54" s="1">
        <v>111.22</v>
      </c>
      <c r="E54" s="1">
        <v>104.47</v>
      </c>
      <c r="F54" s="1">
        <v>99</v>
      </c>
      <c r="G54" s="10">
        <v>0</v>
      </c>
      <c r="H54" s="10">
        <v>0</v>
      </c>
      <c r="I54" s="1">
        <v>0</v>
      </c>
      <c r="J54" s="1">
        <v>0</v>
      </c>
      <c r="K54" s="1">
        <v>0</v>
      </c>
      <c r="L54" s="1">
        <v>0</v>
      </c>
      <c r="M54" s="1">
        <v>0</v>
      </c>
      <c r="N54" s="1">
        <v>0</v>
      </c>
      <c r="O54" s="1">
        <v>0</v>
      </c>
      <c r="P54" s="1">
        <v>0</v>
      </c>
      <c r="Q54" s="1">
        <v>0</v>
      </c>
      <c r="R54" s="1">
        <v>0</v>
      </c>
      <c r="S54" s="1">
        <v>0</v>
      </c>
      <c r="T54" s="1">
        <v>0</v>
      </c>
      <c r="U54" s="1">
        <v>0</v>
      </c>
      <c r="V54" s="1">
        <v>0</v>
      </c>
      <c r="W54" s="1">
        <v>0</v>
      </c>
      <c r="X54" s="1">
        <v>0</v>
      </c>
      <c r="Y54" s="1">
        <v>0</v>
      </c>
      <c r="Z54" s="1">
        <v>0</v>
      </c>
      <c r="AA54" s="1">
        <v>0</v>
      </c>
      <c r="AB54" s="1">
        <v>0</v>
      </c>
      <c r="AC54" s="1">
        <v>0</v>
      </c>
      <c r="AD54" s="1">
        <v>0</v>
      </c>
      <c r="AE54" s="1">
        <v>0</v>
      </c>
      <c r="AF54" s="10">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c r="BF54" s="1">
        <v>0</v>
      </c>
      <c r="BG54" s="1">
        <v>0</v>
      </c>
      <c r="BH54" s="1">
        <v>0</v>
      </c>
      <c r="BI54" s="1">
        <v>0</v>
      </c>
      <c r="BJ54" s="1">
        <v>0</v>
      </c>
      <c r="BK54" s="1">
        <v>0</v>
      </c>
      <c r="BL54" s="1">
        <v>0</v>
      </c>
      <c r="BM54" s="1">
        <v>0</v>
      </c>
      <c r="BN54" s="1">
        <v>0</v>
      </c>
      <c r="BO54" s="1">
        <v>0</v>
      </c>
      <c r="BP54" s="1">
        <v>0</v>
      </c>
      <c r="BQ54" s="1">
        <v>0</v>
      </c>
      <c r="BR54" s="1">
        <v>0</v>
      </c>
      <c r="BS54" s="1">
        <v>0</v>
      </c>
      <c r="BT54" s="1">
        <v>0</v>
      </c>
      <c r="BU54" s="1">
        <v>0</v>
      </c>
      <c r="BV54" s="10">
        <v>0</v>
      </c>
      <c r="BW54" s="10">
        <v>0</v>
      </c>
      <c r="BX54" s="10">
        <v>0</v>
      </c>
      <c r="BY54" s="10">
        <v>0</v>
      </c>
      <c r="BZ54" s="10">
        <v>0</v>
      </c>
      <c r="CA54" s="10">
        <v>0</v>
      </c>
      <c r="CB54" s="10">
        <v>0</v>
      </c>
      <c r="CC54" s="10">
        <v>0</v>
      </c>
      <c r="CD54" s="10">
        <v>0</v>
      </c>
      <c r="CE54" s="10">
        <v>0</v>
      </c>
      <c r="CF54" s="10">
        <v>0</v>
      </c>
      <c r="CG54" s="10">
        <v>0</v>
      </c>
      <c r="CH54" s="10">
        <v>0</v>
      </c>
      <c r="CI54" s="10">
        <v>0</v>
      </c>
      <c r="CJ54" s="10">
        <v>0</v>
      </c>
      <c r="CK54" s="10">
        <v>0</v>
      </c>
      <c r="CL54" s="10">
        <v>0</v>
      </c>
      <c r="CM54" s="10">
        <v>0</v>
      </c>
      <c r="CN54" s="10">
        <v>0</v>
      </c>
      <c r="CO54" s="10">
        <v>0</v>
      </c>
      <c r="CP54" s="10">
        <v>0</v>
      </c>
      <c r="CQ54" s="10">
        <v>0</v>
      </c>
      <c r="CR54" s="10">
        <v>0</v>
      </c>
      <c r="CS54" s="10">
        <v>0</v>
      </c>
      <c r="CT54" s="10">
        <v>0</v>
      </c>
      <c r="CU54" s="10">
        <v>0</v>
      </c>
      <c r="CV54" s="10">
        <v>0</v>
      </c>
      <c r="CW54" s="10">
        <v>0</v>
      </c>
      <c r="CX54" s="10">
        <v>0</v>
      </c>
      <c r="CY54" s="1">
        <v>0</v>
      </c>
      <c r="CZ54" s="10">
        <v>0</v>
      </c>
      <c r="DA54" s="10">
        <v>0</v>
      </c>
      <c r="DB54" s="10">
        <v>0</v>
      </c>
      <c r="DC54" s="10">
        <v>0</v>
      </c>
      <c r="DD54" s="1">
        <v>0</v>
      </c>
      <c r="DE54" s="10">
        <v>0</v>
      </c>
      <c r="DF54" s="10">
        <v>0</v>
      </c>
      <c r="DG54" s="10">
        <v>0</v>
      </c>
      <c r="DH54" s="10">
        <v>0</v>
      </c>
      <c r="DI54" s="10">
        <v>0</v>
      </c>
      <c r="DJ54" s="10">
        <v>0</v>
      </c>
      <c r="DK54" s="10">
        <v>0</v>
      </c>
      <c r="DL54" s="10">
        <v>0</v>
      </c>
      <c r="DM54" s="10">
        <v>0</v>
      </c>
      <c r="DN54" s="10">
        <v>0</v>
      </c>
      <c r="DO54" s="10">
        <v>0</v>
      </c>
      <c r="DP54" s="10">
        <v>0</v>
      </c>
      <c r="DQ54" s="10">
        <v>0</v>
      </c>
      <c r="DR54" s="10">
        <v>0</v>
      </c>
      <c r="DS54" s="10">
        <v>0</v>
      </c>
      <c r="DT54" s="10">
        <v>0</v>
      </c>
      <c r="DU54" s="10">
        <v>0</v>
      </c>
      <c r="DV54" s="1">
        <v>0</v>
      </c>
      <c r="DW54" s="10">
        <v>0</v>
      </c>
      <c r="DX54" s="10">
        <v>0</v>
      </c>
      <c r="DY54" s="10">
        <v>0</v>
      </c>
      <c r="DZ54" s="10">
        <v>0</v>
      </c>
      <c r="EA54" s="10">
        <v>0</v>
      </c>
      <c r="EB54" s="10">
        <v>0</v>
      </c>
      <c r="EC54" s="10">
        <v>0</v>
      </c>
      <c r="ED54" s="10">
        <v>0</v>
      </c>
      <c r="EE54" s="10">
        <v>0</v>
      </c>
      <c r="EF54" s="10">
        <v>0</v>
      </c>
      <c r="EG54" s="10">
        <v>0</v>
      </c>
      <c r="EH54" s="10">
        <v>0</v>
      </c>
      <c r="EI54" s="10">
        <v>0</v>
      </c>
      <c r="EJ54" s="10">
        <v>0</v>
      </c>
      <c r="EK54" s="10">
        <v>0</v>
      </c>
      <c r="EL54" s="10">
        <v>0</v>
      </c>
      <c r="EM54" s="10">
        <v>0</v>
      </c>
      <c r="EN54" s="10">
        <v>0</v>
      </c>
      <c r="EO54" s="10">
        <v>0</v>
      </c>
      <c r="EP54" s="10">
        <v>0</v>
      </c>
      <c r="EQ54" s="10">
        <v>0</v>
      </c>
      <c r="ER54" s="10">
        <v>0</v>
      </c>
      <c r="ES54" s="10">
        <v>0</v>
      </c>
      <c r="ET54" s="10">
        <v>0</v>
      </c>
      <c r="EU54" s="10">
        <v>0</v>
      </c>
      <c r="EV54" s="10">
        <v>0</v>
      </c>
      <c r="EW54" s="10">
        <v>0</v>
      </c>
      <c r="EX54" s="10">
        <v>0</v>
      </c>
      <c r="EY54" s="10">
        <v>0</v>
      </c>
      <c r="EZ54" s="10">
        <v>0</v>
      </c>
      <c r="FA54" s="10">
        <v>0</v>
      </c>
      <c r="FB54" s="10">
        <v>0</v>
      </c>
      <c r="FC54" s="10">
        <v>0</v>
      </c>
      <c r="FD54" s="10">
        <v>0</v>
      </c>
      <c r="FE54" s="10">
        <v>0</v>
      </c>
      <c r="FF54" s="10">
        <v>0</v>
      </c>
      <c r="FG54" s="10">
        <v>0</v>
      </c>
      <c r="FH54" s="10">
        <v>0</v>
      </c>
      <c r="FI54" s="10">
        <v>0</v>
      </c>
      <c r="FJ54" s="10">
        <v>0</v>
      </c>
      <c r="FK54" s="10">
        <v>0</v>
      </c>
      <c r="FL54" s="10">
        <v>0</v>
      </c>
      <c r="FM54" s="10">
        <v>0</v>
      </c>
      <c r="FN54" s="10">
        <v>0</v>
      </c>
      <c r="FO54" s="10">
        <v>0</v>
      </c>
      <c r="FP54" s="10">
        <v>0</v>
      </c>
      <c r="FQ54" s="10">
        <v>0</v>
      </c>
      <c r="FR54" s="10">
        <v>0</v>
      </c>
      <c r="FS54" s="10">
        <v>0</v>
      </c>
      <c r="FT54" s="10">
        <v>0</v>
      </c>
      <c r="FU54" s="10">
        <v>0</v>
      </c>
      <c r="FV54" s="1">
        <v>0</v>
      </c>
      <c r="FW54" s="1">
        <v>0</v>
      </c>
      <c r="FX54" s="1">
        <v>0</v>
      </c>
      <c r="FY54" s="1">
        <v>0</v>
      </c>
      <c r="FZ54" s="10">
        <v>0</v>
      </c>
      <c r="GA54" s="1">
        <v>0</v>
      </c>
      <c r="GB54" s="1">
        <v>0</v>
      </c>
      <c r="GC54" s="10">
        <v>0</v>
      </c>
      <c r="GD54" s="1">
        <v>0</v>
      </c>
      <c r="GE54" s="10">
        <v>0</v>
      </c>
      <c r="GF54" s="10">
        <v>0</v>
      </c>
      <c r="GG54" s="1">
        <v>0</v>
      </c>
      <c r="GH54" s="1">
        <v>0</v>
      </c>
      <c r="GI54" s="10">
        <v>0</v>
      </c>
      <c r="GJ54" s="10">
        <v>0</v>
      </c>
      <c r="GK54" s="1">
        <v>0</v>
      </c>
      <c r="GL54" s="10">
        <v>0</v>
      </c>
      <c r="GM54" s="1">
        <v>0</v>
      </c>
      <c r="GN54" s="1">
        <v>0</v>
      </c>
      <c r="GO54" s="10">
        <v>0</v>
      </c>
      <c r="GP54" s="1">
        <v>0</v>
      </c>
      <c r="GQ54" s="1">
        <v>0</v>
      </c>
      <c r="GR54" s="1">
        <v>0</v>
      </c>
      <c r="GS54" s="1">
        <v>0</v>
      </c>
      <c r="GT54" s="10">
        <v>0</v>
      </c>
      <c r="GU54" s="1">
        <v>0</v>
      </c>
      <c r="GV54" s="1">
        <v>0</v>
      </c>
      <c r="GW54" s="1">
        <v>0</v>
      </c>
      <c r="GX54" s="1">
        <v>0</v>
      </c>
      <c r="GY54" s="10">
        <v>0</v>
      </c>
      <c r="GZ54" s="10">
        <v>0</v>
      </c>
      <c r="HA54" s="10">
        <v>0</v>
      </c>
      <c r="HB54" s="10">
        <v>0</v>
      </c>
      <c r="HC54" s="10">
        <v>0</v>
      </c>
      <c r="HD54" s="10">
        <v>0</v>
      </c>
      <c r="HE54" s="10">
        <v>0</v>
      </c>
      <c r="HF54" s="10">
        <v>0</v>
      </c>
      <c r="HG54" s="10">
        <v>0</v>
      </c>
      <c r="HH54" s="10">
        <v>0</v>
      </c>
      <c r="HI54" s="10">
        <v>0</v>
      </c>
      <c r="HJ54" s="10">
        <v>0</v>
      </c>
      <c r="HK54" s="10">
        <v>0</v>
      </c>
      <c r="HL54" s="10">
        <v>0</v>
      </c>
      <c r="HM54" s="10">
        <v>0</v>
      </c>
      <c r="HN54" s="10">
        <v>0</v>
      </c>
      <c r="HO54" s="10">
        <v>0</v>
      </c>
      <c r="HP54" s="1">
        <v>0</v>
      </c>
      <c r="HQ54" s="1">
        <v>0</v>
      </c>
      <c r="HR54" s="1">
        <v>0</v>
      </c>
      <c r="HS54" s="1">
        <v>0</v>
      </c>
      <c r="HT54" s="1">
        <v>0</v>
      </c>
      <c r="HU54" s="1">
        <v>0</v>
      </c>
      <c r="HV54" s="1">
        <v>0</v>
      </c>
      <c r="HW54" s="1">
        <v>0</v>
      </c>
      <c r="HX54" s="1">
        <v>0</v>
      </c>
      <c r="HY54" s="1">
        <v>0</v>
      </c>
      <c r="HZ54" s="1">
        <v>0</v>
      </c>
      <c r="IA54" s="1">
        <v>0</v>
      </c>
      <c r="IB54" s="1">
        <v>0</v>
      </c>
      <c r="IC54" s="1">
        <v>0</v>
      </c>
      <c r="ID54" s="1">
        <v>0</v>
      </c>
      <c r="IE54" s="1">
        <v>0</v>
      </c>
      <c r="IF54" s="1">
        <v>0</v>
      </c>
      <c r="IG54" s="1">
        <v>0</v>
      </c>
      <c r="IH54" s="1">
        <v>0</v>
      </c>
      <c r="II54" s="1">
        <v>0</v>
      </c>
      <c r="IJ54" s="1">
        <v>0</v>
      </c>
      <c r="IK54" s="1">
        <v>0</v>
      </c>
      <c r="IL54" s="1">
        <v>0</v>
      </c>
      <c r="IM54" s="1">
        <v>0</v>
      </c>
      <c r="IN54" s="1">
        <v>0</v>
      </c>
      <c r="IO54" s="1">
        <v>0</v>
      </c>
      <c r="IP54" s="1">
        <v>0</v>
      </c>
      <c r="IQ54" s="1">
        <v>0</v>
      </c>
      <c r="IR54" s="1">
        <v>0</v>
      </c>
      <c r="IS54" s="1">
        <v>0</v>
      </c>
      <c r="IT54" s="1">
        <v>0</v>
      </c>
      <c r="IU54" s="1">
        <v>0</v>
      </c>
      <c r="IV54" s="1">
        <v>0</v>
      </c>
      <c r="IW54" s="1">
        <v>0</v>
      </c>
      <c r="IX54" s="1">
        <v>0</v>
      </c>
      <c r="IY54" s="1">
        <v>0</v>
      </c>
      <c r="IZ54" s="1">
        <v>0</v>
      </c>
      <c r="JA54" s="1">
        <v>0</v>
      </c>
      <c r="JB54" s="1">
        <v>0</v>
      </c>
      <c r="JC54" s="1">
        <v>0</v>
      </c>
      <c r="JD54" s="1">
        <v>0</v>
      </c>
      <c r="JE54" s="1">
        <v>0</v>
      </c>
      <c r="JF54" s="1">
        <v>0</v>
      </c>
      <c r="JG54" s="1">
        <v>0</v>
      </c>
      <c r="JH54" s="1">
        <v>0</v>
      </c>
      <c r="JI54" s="1">
        <v>0</v>
      </c>
      <c r="JJ54" s="1">
        <v>0</v>
      </c>
      <c r="JK54" s="1">
        <v>0</v>
      </c>
      <c r="JL54" s="1">
        <v>0</v>
      </c>
      <c r="JM54" s="1">
        <v>0</v>
      </c>
      <c r="JN54" s="1">
        <v>0</v>
      </c>
      <c r="JO54" s="1">
        <v>0</v>
      </c>
      <c r="JP54" s="1">
        <v>0</v>
      </c>
      <c r="JQ54" s="1">
        <v>0</v>
      </c>
      <c r="JR54" s="1">
        <v>0</v>
      </c>
      <c r="JS54" s="1">
        <v>0</v>
      </c>
      <c r="JT54" s="1">
        <v>0</v>
      </c>
      <c r="JU54" s="1">
        <v>0</v>
      </c>
      <c r="JV54" s="1">
        <v>0</v>
      </c>
      <c r="JW54" s="1">
        <v>0</v>
      </c>
      <c r="JX54" s="1">
        <v>0</v>
      </c>
      <c r="JY54" s="1">
        <v>0</v>
      </c>
      <c r="JZ54" s="1">
        <v>0</v>
      </c>
      <c r="KA54" s="1">
        <v>0</v>
      </c>
      <c r="KB54" s="1">
        <v>0</v>
      </c>
      <c r="KC54" s="1">
        <v>0</v>
      </c>
    </row>
    <row r="55" spans="1:289" x14ac:dyDescent="0.15">
      <c r="A55" s="8">
        <v>63</v>
      </c>
      <c r="B55" s="1">
        <v>81.45</v>
      </c>
      <c r="C55" s="1">
        <v>121.5</v>
      </c>
      <c r="D55" s="1">
        <v>113.2</v>
      </c>
      <c r="E55" s="1">
        <v>106.56</v>
      </c>
      <c r="F55" s="1">
        <v>0</v>
      </c>
      <c r="G55" s="1">
        <v>0</v>
      </c>
      <c r="H55" s="1">
        <v>0</v>
      </c>
      <c r="I55" s="10">
        <v>0</v>
      </c>
      <c r="J55" s="10">
        <v>0</v>
      </c>
      <c r="K55" s="10">
        <v>0</v>
      </c>
      <c r="L55" s="10">
        <v>0</v>
      </c>
      <c r="M55" s="10">
        <v>0</v>
      </c>
      <c r="N55" s="10">
        <v>0</v>
      </c>
      <c r="O55" s="10">
        <v>0</v>
      </c>
      <c r="P55" s="10">
        <v>0</v>
      </c>
      <c r="Q55" s="10">
        <v>0</v>
      </c>
      <c r="R55" s="10">
        <v>0</v>
      </c>
      <c r="S55" s="10">
        <v>0</v>
      </c>
      <c r="T55" s="10">
        <v>0</v>
      </c>
      <c r="U55" s="10">
        <v>0</v>
      </c>
      <c r="V55" s="10">
        <v>0</v>
      </c>
      <c r="W55" s="10">
        <v>0</v>
      </c>
      <c r="X55" s="10">
        <v>0</v>
      </c>
      <c r="Y55" s="10">
        <v>0</v>
      </c>
      <c r="Z55" s="10">
        <v>0</v>
      </c>
      <c r="AA55" s="10">
        <v>0</v>
      </c>
      <c r="AB55" s="10">
        <v>0</v>
      </c>
      <c r="AC55" s="10">
        <v>0</v>
      </c>
      <c r="AD55" s="10">
        <v>0</v>
      </c>
      <c r="AE55" s="10">
        <v>0</v>
      </c>
      <c r="AF55" s="10">
        <v>0</v>
      </c>
      <c r="AG55" s="10">
        <v>0</v>
      </c>
      <c r="AH55" s="10">
        <v>0</v>
      </c>
      <c r="AI55" s="10">
        <v>0</v>
      </c>
      <c r="AJ55" s="10">
        <v>0</v>
      </c>
      <c r="AK55" s="10">
        <v>0</v>
      </c>
      <c r="AL55" s="10">
        <v>0</v>
      </c>
      <c r="AM55" s="10">
        <v>0</v>
      </c>
      <c r="AN55" s="10">
        <v>0</v>
      </c>
      <c r="AO55" s="10">
        <v>0</v>
      </c>
      <c r="AP55" s="10">
        <v>0</v>
      </c>
      <c r="AQ55" s="10">
        <v>0</v>
      </c>
      <c r="AR55" s="10">
        <v>0</v>
      </c>
      <c r="AS55" s="10">
        <v>0</v>
      </c>
      <c r="AT55" s="10">
        <v>0</v>
      </c>
      <c r="AU55" s="10">
        <v>0</v>
      </c>
      <c r="AV55" s="10">
        <v>0</v>
      </c>
      <c r="AW55" s="10">
        <v>0</v>
      </c>
      <c r="AX55" s="10">
        <v>0</v>
      </c>
      <c r="AY55" s="10">
        <v>0</v>
      </c>
      <c r="AZ55" s="10">
        <v>0</v>
      </c>
      <c r="BA55" s="10">
        <v>0</v>
      </c>
      <c r="BB55" s="10">
        <v>0</v>
      </c>
      <c r="BC55" s="10">
        <v>0</v>
      </c>
      <c r="BD55" s="10">
        <v>0</v>
      </c>
      <c r="BE55" s="10">
        <v>0</v>
      </c>
      <c r="BF55" s="10">
        <v>0</v>
      </c>
      <c r="BG55" s="10">
        <v>0</v>
      </c>
      <c r="BH55" s="10">
        <v>0</v>
      </c>
      <c r="BI55" s="10">
        <v>0</v>
      </c>
      <c r="BJ55" s="10">
        <v>0</v>
      </c>
      <c r="BK55" s="10">
        <v>0</v>
      </c>
      <c r="BL55" s="10">
        <v>0</v>
      </c>
      <c r="BM55" s="10">
        <v>0</v>
      </c>
      <c r="BN55" s="10">
        <v>0</v>
      </c>
      <c r="BO55" s="10">
        <v>0</v>
      </c>
      <c r="BP55" s="10">
        <v>0</v>
      </c>
      <c r="BQ55" s="10">
        <v>0</v>
      </c>
      <c r="BR55" s="10">
        <v>0</v>
      </c>
      <c r="BS55" s="10">
        <v>0</v>
      </c>
      <c r="BT55" s="10">
        <v>0</v>
      </c>
      <c r="BU55" s="10">
        <v>0</v>
      </c>
      <c r="BV55" s="10">
        <v>0</v>
      </c>
      <c r="BW55" s="10">
        <v>0</v>
      </c>
      <c r="BX55" s="10">
        <v>0</v>
      </c>
      <c r="BY55" s="10">
        <v>0</v>
      </c>
      <c r="BZ55" s="10">
        <v>0</v>
      </c>
      <c r="CA55" s="10">
        <v>0</v>
      </c>
      <c r="CB55" s="10">
        <v>0</v>
      </c>
      <c r="CC55" s="10">
        <v>0</v>
      </c>
      <c r="CD55" s="10">
        <v>0</v>
      </c>
      <c r="CE55" s="10">
        <v>0</v>
      </c>
      <c r="CF55" s="10">
        <v>0</v>
      </c>
      <c r="CG55" s="10">
        <v>0</v>
      </c>
      <c r="CH55" s="10">
        <v>0</v>
      </c>
      <c r="CI55" s="10">
        <v>0</v>
      </c>
      <c r="CJ55" s="10">
        <v>0</v>
      </c>
      <c r="CK55" s="10">
        <v>0</v>
      </c>
      <c r="CL55" s="10">
        <v>0</v>
      </c>
      <c r="CM55" s="10">
        <v>0</v>
      </c>
      <c r="CN55" s="10">
        <v>0</v>
      </c>
      <c r="CO55" s="10">
        <v>0</v>
      </c>
      <c r="CP55" s="10">
        <v>0</v>
      </c>
      <c r="CQ55" s="10">
        <v>0</v>
      </c>
      <c r="CR55" s="10">
        <v>0</v>
      </c>
      <c r="CS55" s="10">
        <v>0</v>
      </c>
      <c r="CT55" s="10">
        <v>0</v>
      </c>
      <c r="CU55" s="10">
        <v>0</v>
      </c>
      <c r="CV55" s="10">
        <v>0</v>
      </c>
      <c r="CW55" s="10">
        <v>0</v>
      </c>
      <c r="CX55" s="10">
        <v>0</v>
      </c>
      <c r="CY55" s="10">
        <v>0</v>
      </c>
      <c r="CZ55" s="10">
        <v>0</v>
      </c>
      <c r="DA55" s="10">
        <v>0</v>
      </c>
      <c r="DB55" s="10">
        <v>0</v>
      </c>
      <c r="DC55" s="10">
        <v>0</v>
      </c>
      <c r="DD55" s="10">
        <v>0</v>
      </c>
      <c r="DE55" s="10">
        <v>0</v>
      </c>
      <c r="DF55" s="10">
        <v>0</v>
      </c>
      <c r="DG55" s="10">
        <v>0</v>
      </c>
      <c r="DH55" s="10">
        <v>0</v>
      </c>
      <c r="DI55" s="10">
        <v>0</v>
      </c>
      <c r="DJ55" s="10">
        <v>0</v>
      </c>
      <c r="DK55" s="10">
        <v>0</v>
      </c>
      <c r="DL55" s="10">
        <v>0</v>
      </c>
      <c r="DM55" s="10">
        <v>0</v>
      </c>
      <c r="DN55" s="10">
        <v>0</v>
      </c>
      <c r="DO55" s="10">
        <v>0</v>
      </c>
      <c r="DP55" s="10">
        <v>0</v>
      </c>
      <c r="DQ55" s="10">
        <v>0</v>
      </c>
      <c r="DR55" s="10">
        <v>0</v>
      </c>
      <c r="DS55" s="10">
        <v>0</v>
      </c>
      <c r="DT55" s="10">
        <v>0</v>
      </c>
      <c r="DU55" s="10">
        <v>0</v>
      </c>
      <c r="DV55" s="10">
        <v>0</v>
      </c>
      <c r="DW55" s="10">
        <v>0</v>
      </c>
      <c r="DX55" s="10">
        <v>0</v>
      </c>
      <c r="DY55" s="10">
        <v>0</v>
      </c>
      <c r="DZ55" s="10">
        <v>0</v>
      </c>
      <c r="EA55" s="10">
        <v>0</v>
      </c>
      <c r="EB55" s="10">
        <v>0</v>
      </c>
      <c r="EC55" s="10">
        <v>0</v>
      </c>
      <c r="ED55" s="10">
        <v>0</v>
      </c>
      <c r="EE55" s="10">
        <v>0</v>
      </c>
      <c r="EF55" s="10">
        <v>0</v>
      </c>
      <c r="EG55" s="10">
        <v>0</v>
      </c>
      <c r="EH55" s="10">
        <v>0</v>
      </c>
      <c r="EI55" s="10">
        <v>0</v>
      </c>
      <c r="EJ55" s="10">
        <v>0</v>
      </c>
      <c r="EK55" s="10">
        <v>0</v>
      </c>
      <c r="EL55" s="10">
        <v>0</v>
      </c>
      <c r="EM55" s="10">
        <v>0</v>
      </c>
      <c r="EN55" s="10">
        <v>0</v>
      </c>
      <c r="EO55" s="10">
        <v>0</v>
      </c>
      <c r="EP55" s="10">
        <v>0</v>
      </c>
      <c r="EQ55" s="10">
        <v>0</v>
      </c>
      <c r="ER55" s="10">
        <v>0</v>
      </c>
      <c r="ES55" s="10">
        <v>0</v>
      </c>
      <c r="ET55" s="10">
        <v>0</v>
      </c>
      <c r="EU55" s="10">
        <v>0</v>
      </c>
      <c r="EV55" s="10">
        <v>0</v>
      </c>
      <c r="EW55" s="10">
        <v>0</v>
      </c>
      <c r="EX55" s="10">
        <v>0</v>
      </c>
      <c r="EY55" s="10">
        <v>0</v>
      </c>
      <c r="EZ55" s="10">
        <v>0</v>
      </c>
      <c r="FA55" s="10">
        <v>0</v>
      </c>
      <c r="FB55" s="10">
        <v>0</v>
      </c>
      <c r="FC55" s="10">
        <v>0</v>
      </c>
      <c r="FD55" s="10">
        <v>0</v>
      </c>
      <c r="FE55" s="10">
        <v>0</v>
      </c>
      <c r="FF55" s="10">
        <v>0</v>
      </c>
      <c r="FG55" s="10">
        <v>0</v>
      </c>
      <c r="FH55" s="10">
        <v>0</v>
      </c>
      <c r="FI55" s="10">
        <v>0</v>
      </c>
      <c r="FJ55" s="10">
        <v>0</v>
      </c>
      <c r="FK55" s="10">
        <v>0</v>
      </c>
      <c r="FL55" s="10">
        <v>0</v>
      </c>
      <c r="FM55" s="10">
        <v>0</v>
      </c>
      <c r="FN55" s="10">
        <v>0</v>
      </c>
      <c r="FO55" s="10">
        <v>0</v>
      </c>
      <c r="FP55" s="10">
        <v>0</v>
      </c>
      <c r="FQ55" s="10">
        <v>0</v>
      </c>
      <c r="FR55" s="10">
        <v>0</v>
      </c>
      <c r="FS55" s="10">
        <v>0</v>
      </c>
      <c r="FT55" s="10">
        <v>0</v>
      </c>
      <c r="FU55" s="10">
        <v>0</v>
      </c>
      <c r="FV55" s="1">
        <v>0</v>
      </c>
      <c r="FW55" s="1">
        <v>0</v>
      </c>
      <c r="FX55" s="1">
        <v>0</v>
      </c>
      <c r="FY55" s="1">
        <v>0</v>
      </c>
      <c r="FZ55" s="10">
        <v>0</v>
      </c>
      <c r="GA55" s="1">
        <v>0</v>
      </c>
      <c r="GB55" s="1">
        <v>0</v>
      </c>
      <c r="GC55" s="10">
        <v>0</v>
      </c>
      <c r="GD55" s="1">
        <v>0</v>
      </c>
      <c r="GE55" s="10">
        <v>0</v>
      </c>
      <c r="GF55" s="10">
        <v>0</v>
      </c>
      <c r="GG55" s="1">
        <v>0</v>
      </c>
      <c r="GH55" s="1">
        <v>0</v>
      </c>
      <c r="GI55" s="10">
        <v>0</v>
      </c>
      <c r="GJ55" s="10">
        <v>0</v>
      </c>
      <c r="GK55" s="1">
        <v>0</v>
      </c>
      <c r="GL55" s="10">
        <v>0</v>
      </c>
      <c r="GM55" s="1">
        <v>0</v>
      </c>
      <c r="GN55" s="1">
        <v>0</v>
      </c>
      <c r="GO55" s="10">
        <v>0</v>
      </c>
      <c r="GP55" s="1">
        <v>0</v>
      </c>
      <c r="GQ55" s="1">
        <v>0</v>
      </c>
      <c r="GR55" s="1">
        <v>0</v>
      </c>
      <c r="GS55" s="1">
        <v>0</v>
      </c>
      <c r="GT55" s="10">
        <v>0</v>
      </c>
      <c r="GU55" s="1">
        <v>0</v>
      </c>
      <c r="GV55" s="1">
        <v>0</v>
      </c>
      <c r="GW55" s="1">
        <v>0</v>
      </c>
      <c r="GX55" s="1">
        <v>0</v>
      </c>
      <c r="GY55" s="10">
        <v>0</v>
      </c>
      <c r="GZ55" s="10">
        <v>0</v>
      </c>
      <c r="HA55" s="10">
        <v>0</v>
      </c>
      <c r="HB55" s="10">
        <v>0</v>
      </c>
      <c r="HC55" s="10">
        <v>0</v>
      </c>
      <c r="HD55" s="10">
        <v>0</v>
      </c>
      <c r="HE55" s="10">
        <v>0</v>
      </c>
      <c r="HF55" s="10">
        <v>0</v>
      </c>
      <c r="HG55" s="10">
        <v>0</v>
      </c>
      <c r="HH55" s="10">
        <v>0</v>
      </c>
      <c r="HI55" s="10">
        <v>0</v>
      </c>
      <c r="HJ55" s="10">
        <v>0</v>
      </c>
      <c r="HK55" s="10">
        <v>0</v>
      </c>
      <c r="HL55" s="10">
        <v>0</v>
      </c>
      <c r="HM55" s="10">
        <v>0</v>
      </c>
      <c r="HN55" s="10">
        <v>0</v>
      </c>
      <c r="HO55" s="10">
        <v>0</v>
      </c>
      <c r="HP55" s="1">
        <v>0</v>
      </c>
      <c r="HQ55" s="1">
        <v>0</v>
      </c>
      <c r="HR55" s="1">
        <v>0</v>
      </c>
      <c r="HS55" s="1">
        <v>0</v>
      </c>
      <c r="HT55" s="1">
        <v>0</v>
      </c>
      <c r="HU55" s="1">
        <v>0</v>
      </c>
      <c r="HV55" s="1">
        <v>0</v>
      </c>
      <c r="HW55" s="1">
        <v>0</v>
      </c>
      <c r="HX55" s="1">
        <v>0</v>
      </c>
      <c r="HY55" s="1">
        <v>0</v>
      </c>
      <c r="HZ55" s="1">
        <v>0</v>
      </c>
      <c r="IA55" s="1">
        <v>0</v>
      </c>
      <c r="IB55" s="1">
        <v>0</v>
      </c>
      <c r="IC55" s="1">
        <v>0</v>
      </c>
      <c r="ID55" s="1">
        <v>0</v>
      </c>
      <c r="IE55" s="1">
        <v>0</v>
      </c>
      <c r="IF55" s="1">
        <v>0</v>
      </c>
      <c r="IG55" s="1">
        <v>0</v>
      </c>
      <c r="IH55" s="1">
        <v>0</v>
      </c>
      <c r="II55" s="1">
        <v>0</v>
      </c>
      <c r="IJ55" s="1">
        <v>0</v>
      </c>
      <c r="IK55" s="1">
        <v>0</v>
      </c>
      <c r="IL55" s="1">
        <v>0</v>
      </c>
      <c r="IM55" s="1">
        <v>0</v>
      </c>
      <c r="IN55" s="1">
        <v>0</v>
      </c>
      <c r="IO55" s="1">
        <v>0</v>
      </c>
      <c r="IP55" s="1">
        <v>0</v>
      </c>
      <c r="IQ55" s="1">
        <v>0</v>
      </c>
      <c r="IR55" s="1">
        <v>0</v>
      </c>
      <c r="IS55" s="1">
        <v>0</v>
      </c>
      <c r="IT55" s="1">
        <v>0</v>
      </c>
      <c r="IU55" s="1">
        <v>0</v>
      </c>
      <c r="IV55" s="1">
        <v>0</v>
      </c>
      <c r="IW55" s="1">
        <v>0</v>
      </c>
      <c r="IX55" s="1">
        <v>0</v>
      </c>
      <c r="IY55" s="1">
        <v>0</v>
      </c>
      <c r="IZ55" s="1">
        <v>0</v>
      </c>
      <c r="JA55" s="1">
        <v>0</v>
      </c>
      <c r="JB55" s="1">
        <v>0</v>
      </c>
      <c r="JC55" s="1">
        <v>0</v>
      </c>
      <c r="JD55" s="1">
        <v>0</v>
      </c>
      <c r="JE55" s="1">
        <v>0</v>
      </c>
      <c r="JF55" s="1">
        <v>0</v>
      </c>
      <c r="JG55" s="1">
        <v>0</v>
      </c>
      <c r="JH55" s="1">
        <v>0</v>
      </c>
      <c r="JI55" s="1">
        <v>0</v>
      </c>
      <c r="JJ55" s="1">
        <v>0</v>
      </c>
      <c r="JK55" s="1">
        <v>0</v>
      </c>
      <c r="JL55" s="1">
        <v>0</v>
      </c>
      <c r="JM55" s="1">
        <v>0</v>
      </c>
      <c r="JN55" s="1">
        <v>0</v>
      </c>
      <c r="JO55" s="1">
        <v>0</v>
      </c>
      <c r="JP55" s="1">
        <v>0</v>
      </c>
      <c r="JQ55" s="1">
        <v>0</v>
      </c>
      <c r="JR55" s="1">
        <v>0</v>
      </c>
      <c r="JS55" s="1">
        <v>0</v>
      </c>
      <c r="JT55" s="1">
        <v>0</v>
      </c>
      <c r="JU55" s="1">
        <v>0</v>
      </c>
      <c r="JV55" s="1">
        <v>0</v>
      </c>
      <c r="JW55" s="1">
        <v>0</v>
      </c>
      <c r="JX55" s="1">
        <v>0</v>
      </c>
      <c r="JY55" s="1">
        <v>0</v>
      </c>
      <c r="JZ55" s="1">
        <v>0</v>
      </c>
      <c r="KA55" s="1">
        <v>0</v>
      </c>
      <c r="KB55" s="1">
        <v>0</v>
      </c>
      <c r="KC55" s="1">
        <v>0</v>
      </c>
    </row>
    <row r="56" spans="1:289" x14ac:dyDescent="0.15">
      <c r="A56" s="8">
        <v>64</v>
      </c>
      <c r="B56" s="1">
        <v>85.65</v>
      </c>
      <c r="C56" s="1">
        <v>123.54</v>
      </c>
      <c r="D56" s="1">
        <v>115.36</v>
      </c>
      <c r="E56" s="10">
        <v>0</v>
      </c>
      <c r="F56" s="10">
        <v>0</v>
      </c>
      <c r="G56" s="10">
        <v>0</v>
      </c>
      <c r="H56" s="10">
        <v>0</v>
      </c>
      <c r="I56" s="10">
        <v>0</v>
      </c>
      <c r="J56" s="10">
        <v>0</v>
      </c>
      <c r="K56" s="10">
        <v>0</v>
      </c>
      <c r="L56" s="10">
        <v>0</v>
      </c>
      <c r="M56" s="10">
        <v>0</v>
      </c>
      <c r="N56" s="10">
        <v>0</v>
      </c>
      <c r="O56" s="10">
        <v>0</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0">
        <v>0</v>
      </c>
      <c r="AQ56" s="10">
        <v>0</v>
      </c>
      <c r="AR56" s="10">
        <v>0</v>
      </c>
      <c r="AS56" s="10">
        <v>0</v>
      </c>
      <c r="AT56" s="10">
        <v>0</v>
      </c>
      <c r="AU56" s="10">
        <v>0</v>
      </c>
      <c r="AV56" s="10">
        <v>0</v>
      </c>
      <c r="AW56" s="10">
        <v>0</v>
      </c>
      <c r="AX56" s="10">
        <v>0</v>
      </c>
      <c r="AY56" s="10">
        <v>0</v>
      </c>
      <c r="AZ56" s="10">
        <v>0</v>
      </c>
      <c r="BA56" s="10">
        <v>0</v>
      </c>
      <c r="BB56" s="10">
        <v>0</v>
      </c>
      <c r="BC56" s="10">
        <v>0</v>
      </c>
      <c r="BD56" s="10">
        <v>0</v>
      </c>
      <c r="BE56" s="10">
        <v>0</v>
      </c>
      <c r="BF56" s="10">
        <v>0</v>
      </c>
      <c r="BG56" s="10">
        <v>0</v>
      </c>
      <c r="BH56" s="10">
        <v>0</v>
      </c>
      <c r="BI56" s="10">
        <v>0</v>
      </c>
      <c r="BJ56" s="10">
        <v>0</v>
      </c>
      <c r="BK56" s="10">
        <v>0</v>
      </c>
      <c r="BL56" s="10">
        <v>0</v>
      </c>
      <c r="BM56" s="10">
        <v>0</v>
      </c>
      <c r="BN56" s="10">
        <v>0</v>
      </c>
      <c r="BO56" s="10">
        <v>0</v>
      </c>
      <c r="BP56" s="10">
        <v>0</v>
      </c>
      <c r="BQ56" s="10">
        <v>0</v>
      </c>
      <c r="BR56" s="10">
        <v>0</v>
      </c>
      <c r="BS56" s="10">
        <v>0</v>
      </c>
      <c r="BT56" s="10">
        <v>0</v>
      </c>
      <c r="BU56" s="10">
        <v>0</v>
      </c>
      <c r="BV56" s="10">
        <v>0</v>
      </c>
      <c r="BW56" s="10">
        <v>0</v>
      </c>
      <c r="BX56" s="10">
        <v>0</v>
      </c>
      <c r="BY56" s="10">
        <v>0</v>
      </c>
      <c r="BZ56" s="10">
        <v>0</v>
      </c>
      <c r="CA56" s="10">
        <v>0</v>
      </c>
      <c r="CB56" s="10">
        <v>0</v>
      </c>
      <c r="CC56" s="10">
        <v>0</v>
      </c>
      <c r="CD56" s="10">
        <v>0</v>
      </c>
      <c r="CE56" s="10">
        <v>0</v>
      </c>
      <c r="CF56" s="10">
        <v>0</v>
      </c>
      <c r="CG56" s="10">
        <v>0</v>
      </c>
      <c r="CH56" s="10">
        <v>0</v>
      </c>
      <c r="CI56" s="10">
        <v>0</v>
      </c>
      <c r="CJ56" s="10">
        <v>0</v>
      </c>
      <c r="CK56" s="10">
        <v>0</v>
      </c>
      <c r="CL56" s="10">
        <v>0</v>
      </c>
      <c r="CM56" s="10">
        <v>0</v>
      </c>
      <c r="CN56" s="10">
        <v>0</v>
      </c>
      <c r="CO56" s="10">
        <v>0</v>
      </c>
      <c r="CP56" s="10">
        <v>0</v>
      </c>
      <c r="CQ56" s="10">
        <v>0</v>
      </c>
      <c r="CR56" s="10">
        <v>0</v>
      </c>
      <c r="CS56" s="10">
        <v>0</v>
      </c>
      <c r="CT56" s="10">
        <v>0</v>
      </c>
      <c r="CU56" s="10">
        <v>0</v>
      </c>
      <c r="CV56" s="10">
        <v>0</v>
      </c>
      <c r="CW56" s="10">
        <v>0</v>
      </c>
      <c r="CX56" s="10">
        <v>0</v>
      </c>
      <c r="CY56" s="10">
        <v>0</v>
      </c>
      <c r="CZ56" s="10">
        <v>0</v>
      </c>
      <c r="DA56" s="10">
        <v>0</v>
      </c>
      <c r="DB56" s="10">
        <v>0</v>
      </c>
      <c r="DC56" s="10">
        <v>0</v>
      </c>
      <c r="DD56" s="10">
        <v>0</v>
      </c>
      <c r="DE56" s="10">
        <v>0</v>
      </c>
      <c r="DF56" s="10">
        <v>0</v>
      </c>
      <c r="DG56" s="10">
        <v>0</v>
      </c>
      <c r="DH56" s="10">
        <v>0</v>
      </c>
      <c r="DI56" s="10">
        <v>0</v>
      </c>
      <c r="DJ56" s="10">
        <v>0</v>
      </c>
      <c r="DK56" s="10">
        <v>0</v>
      </c>
      <c r="DL56" s="10">
        <v>0</v>
      </c>
      <c r="DM56" s="10">
        <v>0</v>
      </c>
      <c r="DN56" s="10">
        <v>0</v>
      </c>
      <c r="DO56" s="10">
        <v>0</v>
      </c>
      <c r="DP56" s="10">
        <v>0</v>
      </c>
      <c r="DQ56" s="10">
        <v>0</v>
      </c>
      <c r="DR56" s="10">
        <v>0</v>
      </c>
      <c r="DS56" s="10">
        <v>0</v>
      </c>
      <c r="DT56" s="10">
        <v>0</v>
      </c>
      <c r="DU56" s="10">
        <v>0</v>
      </c>
      <c r="DV56" s="10">
        <v>0</v>
      </c>
      <c r="DW56" s="10">
        <v>0</v>
      </c>
      <c r="DX56" s="10">
        <v>0</v>
      </c>
      <c r="DY56" s="10">
        <v>0</v>
      </c>
      <c r="DZ56" s="10">
        <v>0</v>
      </c>
      <c r="EA56" s="10">
        <v>0</v>
      </c>
      <c r="EB56" s="10">
        <v>0</v>
      </c>
      <c r="EC56" s="10">
        <v>0</v>
      </c>
      <c r="ED56" s="10">
        <v>0</v>
      </c>
      <c r="EE56" s="10">
        <v>0</v>
      </c>
      <c r="EF56" s="10">
        <v>0</v>
      </c>
      <c r="EG56" s="10">
        <v>0</v>
      </c>
      <c r="EH56" s="10">
        <v>0</v>
      </c>
      <c r="EI56" s="10">
        <v>0</v>
      </c>
      <c r="EJ56" s="10">
        <v>0</v>
      </c>
      <c r="EK56" s="10">
        <v>0</v>
      </c>
      <c r="EL56" s="10">
        <v>0</v>
      </c>
      <c r="EM56" s="10">
        <v>0</v>
      </c>
      <c r="EN56" s="10">
        <v>0</v>
      </c>
      <c r="EO56" s="10">
        <v>0</v>
      </c>
      <c r="EP56" s="10">
        <v>0</v>
      </c>
      <c r="EQ56" s="10">
        <v>0</v>
      </c>
      <c r="ER56" s="10">
        <v>0</v>
      </c>
      <c r="ES56" s="10">
        <v>0</v>
      </c>
      <c r="ET56" s="10">
        <v>0</v>
      </c>
      <c r="EU56" s="10">
        <v>0</v>
      </c>
      <c r="EV56" s="10">
        <v>0</v>
      </c>
      <c r="EW56" s="10">
        <v>0</v>
      </c>
      <c r="EX56" s="10">
        <v>0</v>
      </c>
      <c r="EY56" s="10">
        <v>0</v>
      </c>
      <c r="EZ56" s="10">
        <v>0</v>
      </c>
      <c r="FA56" s="10">
        <v>0</v>
      </c>
      <c r="FB56" s="10">
        <v>0</v>
      </c>
      <c r="FC56" s="10">
        <v>0</v>
      </c>
      <c r="FD56" s="10">
        <v>0</v>
      </c>
      <c r="FE56" s="10">
        <v>0</v>
      </c>
      <c r="FF56" s="10">
        <v>0</v>
      </c>
      <c r="FG56" s="10">
        <v>0</v>
      </c>
      <c r="FH56" s="10">
        <v>0</v>
      </c>
      <c r="FI56" s="10">
        <v>0</v>
      </c>
      <c r="FJ56" s="10">
        <v>0</v>
      </c>
      <c r="FK56" s="10">
        <v>0</v>
      </c>
      <c r="FL56" s="10">
        <v>0</v>
      </c>
      <c r="FM56" s="10">
        <v>0</v>
      </c>
      <c r="FN56" s="10">
        <v>0</v>
      </c>
      <c r="FO56" s="10">
        <v>0</v>
      </c>
      <c r="FP56" s="10">
        <v>0</v>
      </c>
      <c r="FQ56" s="10">
        <v>0</v>
      </c>
      <c r="FR56" s="10">
        <v>0</v>
      </c>
      <c r="FS56" s="10">
        <v>0</v>
      </c>
      <c r="FT56" s="10">
        <v>0</v>
      </c>
      <c r="FU56" s="10">
        <v>0</v>
      </c>
      <c r="FV56" s="1">
        <v>0</v>
      </c>
      <c r="FW56" s="1">
        <v>0</v>
      </c>
      <c r="FX56" s="1">
        <v>0</v>
      </c>
      <c r="FY56" s="1">
        <v>0</v>
      </c>
      <c r="FZ56" s="10">
        <v>0</v>
      </c>
      <c r="GA56" s="1">
        <v>0</v>
      </c>
      <c r="GB56" s="1">
        <v>0</v>
      </c>
      <c r="GC56" s="10">
        <v>0</v>
      </c>
      <c r="GD56" s="1">
        <v>0</v>
      </c>
      <c r="GE56" s="10">
        <v>0</v>
      </c>
      <c r="GF56" s="10">
        <v>0</v>
      </c>
      <c r="GG56" s="1">
        <v>0</v>
      </c>
      <c r="GH56" s="1">
        <v>0</v>
      </c>
      <c r="GI56" s="10">
        <v>0</v>
      </c>
      <c r="GJ56" s="10">
        <v>0</v>
      </c>
      <c r="GK56" s="1">
        <v>0</v>
      </c>
      <c r="GL56" s="10">
        <v>0</v>
      </c>
      <c r="GM56" s="1">
        <v>0</v>
      </c>
      <c r="GN56" s="1">
        <v>0</v>
      </c>
      <c r="GO56" s="10">
        <v>0</v>
      </c>
      <c r="GP56" s="1">
        <v>0</v>
      </c>
      <c r="GQ56" s="1">
        <v>0</v>
      </c>
      <c r="GR56" s="1">
        <v>0</v>
      </c>
      <c r="GS56" s="1">
        <v>0</v>
      </c>
      <c r="GT56" s="10">
        <v>0</v>
      </c>
      <c r="GU56" s="1">
        <v>0</v>
      </c>
      <c r="GV56" s="1">
        <v>0</v>
      </c>
      <c r="GW56" s="1">
        <v>0</v>
      </c>
      <c r="GX56" s="1">
        <v>0</v>
      </c>
      <c r="GY56" s="10">
        <v>0</v>
      </c>
      <c r="GZ56" s="10">
        <v>0</v>
      </c>
      <c r="HA56" s="10">
        <v>0</v>
      </c>
      <c r="HB56" s="10">
        <v>0</v>
      </c>
      <c r="HC56" s="10">
        <v>0</v>
      </c>
      <c r="HD56" s="10">
        <v>0</v>
      </c>
      <c r="HE56" s="10">
        <v>0</v>
      </c>
      <c r="HF56" s="10">
        <v>0</v>
      </c>
      <c r="HG56" s="10">
        <v>0</v>
      </c>
      <c r="HH56" s="10">
        <v>0</v>
      </c>
      <c r="HI56" s="10">
        <v>0</v>
      </c>
      <c r="HJ56" s="10">
        <v>0</v>
      </c>
      <c r="HK56" s="10">
        <v>0</v>
      </c>
      <c r="HL56" s="10">
        <v>0</v>
      </c>
      <c r="HM56" s="10">
        <v>0</v>
      </c>
      <c r="HN56" s="10">
        <v>0</v>
      </c>
      <c r="HO56" s="10">
        <v>0</v>
      </c>
      <c r="HP56" s="1">
        <v>0</v>
      </c>
      <c r="HQ56" s="1">
        <v>0</v>
      </c>
      <c r="HR56" s="1">
        <v>0</v>
      </c>
      <c r="HS56" s="1">
        <v>0</v>
      </c>
      <c r="HT56" s="1">
        <v>0</v>
      </c>
      <c r="HU56" s="1">
        <v>0</v>
      </c>
      <c r="HV56" s="1">
        <v>0</v>
      </c>
      <c r="HW56" s="1">
        <v>0</v>
      </c>
      <c r="HX56" s="1">
        <v>0</v>
      </c>
      <c r="HY56" s="1">
        <v>0</v>
      </c>
      <c r="HZ56" s="1">
        <v>0</v>
      </c>
      <c r="IA56" s="1">
        <v>0</v>
      </c>
      <c r="IB56" s="1">
        <v>0</v>
      </c>
      <c r="IC56" s="1">
        <v>0</v>
      </c>
      <c r="ID56" s="1">
        <v>0</v>
      </c>
      <c r="IE56" s="1">
        <v>0</v>
      </c>
      <c r="IF56" s="1">
        <v>0</v>
      </c>
      <c r="IG56" s="1">
        <v>0</v>
      </c>
      <c r="IH56" s="1">
        <v>0</v>
      </c>
      <c r="II56" s="1">
        <v>0</v>
      </c>
      <c r="IJ56" s="1">
        <v>0</v>
      </c>
      <c r="IK56" s="1">
        <v>0</v>
      </c>
      <c r="IL56" s="1">
        <v>0</v>
      </c>
      <c r="IM56" s="1">
        <v>0</v>
      </c>
      <c r="IN56" s="1">
        <v>0</v>
      </c>
      <c r="IO56" s="1">
        <v>0</v>
      </c>
      <c r="IP56" s="1">
        <v>0</v>
      </c>
      <c r="IQ56" s="1">
        <v>0</v>
      </c>
      <c r="IR56" s="1">
        <v>0</v>
      </c>
      <c r="IS56" s="1">
        <v>0</v>
      </c>
      <c r="IT56" s="1">
        <v>0</v>
      </c>
      <c r="IU56" s="1">
        <v>0</v>
      </c>
      <c r="IV56" s="1">
        <v>0</v>
      </c>
      <c r="IW56" s="1">
        <v>0</v>
      </c>
      <c r="IX56" s="1">
        <v>0</v>
      </c>
      <c r="IY56" s="1">
        <v>0</v>
      </c>
      <c r="IZ56" s="1">
        <v>0</v>
      </c>
      <c r="JA56" s="1">
        <v>0</v>
      </c>
      <c r="JB56" s="1">
        <v>0</v>
      </c>
      <c r="JC56" s="1">
        <v>0</v>
      </c>
      <c r="JD56" s="1">
        <v>0</v>
      </c>
      <c r="JE56" s="1">
        <v>0</v>
      </c>
      <c r="JF56" s="1">
        <v>0</v>
      </c>
      <c r="JG56" s="1">
        <v>0</v>
      </c>
      <c r="JH56" s="1">
        <v>0</v>
      </c>
      <c r="JI56" s="1">
        <v>0</v>
      </c>
      <c r="JJ56" s="1">
        <v>0</v>
      </c>
      <c r="JK56" s="1">
        <v>0</v>
      </c>
      <c r="JL56" s="1">
        <v>0</v>
      </c>
      <c r="JM56" s="1">
        <v>0</v>
      </c>
      <c r="JN56" s="1">
        <v>0</v>
      </c>
      <c r="JO56" s="1">
        <v>0</v>
      </c>
      <c r="JP56" s="1">
        <v>0</v>
      </c>
      <c r="JQ56" s="1">
        <v>0</v>
      </c>
      <c r="JR56" s="1">
        <v>0</v>
      </c>
      <c r="JS56" s="1">
        <v>0</v>
      </c>
      <c r="JT56" s="1">
        <v>0</v>
      </c>
      <c r="JU56" s="1">
        <v>0</v>
      </c>
      <c r="JV56" s="1">
        <v>0</v>
      </c>
      <c r="JW56" s="1">
        <v>0</v>
      </c>
      <c r="JX56" s="1">
        <v>0</v>
      </c>
      <c r="JY56" s="1">
        <v>0</v>
      </c>
      <c r="JZ56" s="1">
        <v>0</v>
      </c>
      <c r="KA56" s="1">
        <v>0</v>
      </c>
      <c r="KB56" s="1">
        <v>0</v>
      </c>
      <c r="KC56" s="1">
        <v>0</v>
      </c>
    </row>
    <row r="57" spans="1:289" x14ac:dyDescent="0.15">
      <c r="A57" s="8">
        <v>65</v>
      </c>
      <c r="B57" s="1">
        <v>90.15</v>
      </c>
      <c r="C57" s="1">
        <v>125.76</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0">
        <v>0</v>
      </c>
      <c r="U57" s="10">
        <v>0</v>
      </c>
      <c r="V57" s="10">
        <v>0</v>
      </c>
      <c r="W57" s="10">
        <v>0</v>
      </c>
      <c r="X57" s="10">
        <v>0</v>
      </c>
      <c r="Y57" s="10">
        <v>0</v>
      </c>
      <c r="Z57" s="10">
        <v>0</v>
      </c>
      <c r="AA57" s="10">
        <v>0</v>
      </c>
      <c r="AB57" s="10">
        <v>0</v>
      </c>
      <c r="AC57" s="10">
        <v>0</v>
      </c>
      <c r="AD57" s="10">
        <v>0</v>
      </c>
      <c r="AE57" s="10">
        <v>0</v>
      </c>
      <c r="AF57" s="1">
        <v>0</v>
      </c>
      <c r="AG57" s="10">
        <v>0</v>
      </c>
      <c r="AH57" s="10">
        <v>0</v>
      </c>
      <c r="AI57" s="10">
        <v>0</v>
      </c>
      <c r="AJ57" s="10">
        <v>0</v>
      </c>
      <c r="AK57" s="10">
        <v>0</v>
      </c>
      <c r="AL57" s="10">
        <v>0</v>
      </c>
      <c r="AM57" s="10">
        <v>0</v>
      </c>
      <c r="AN57" s="10">
        <v>0</v>
      </c>
      <c r="AO57" s="10">
        <v>0</v>
      </c>
      <c r="AP57" s="10">
        <v>0</v>
      </c>
      <c r="AQ57" s="10">
        <v>0</v>
      </c>
      <c r="AR57" s="10">
        <v>0</v>
      </c>
      <c r="AS57" s="10">
        <v>0</v>
      </c>
      <c r="AT57" s="10">
        <v>0</v>
      </c>
      <c r="AU57" s="10">
        <v>0</v>
      </c>
      <c r="AV57" s="10">
        <v>0</v>
      </c>
      <c r="AW57" s="10">
        <v>0</v>
      </c>
      <c r="AX57" s="10">
        <v>0</v>
      </c>
      <c r="AY57" s="10">
        <v>0</v>
      </c>
      <c r="AZ57" s="10">
        <v>0</v>
      </c>
      <c r="BA57" s="10">
        <v>0</v>
      </c>
      <c r="BB57" s="10">
        <v>0</v>
      </c>
      <c r="BC57" s="10">
        <v>0</v>
      </c>
      <c r="BD57" s="10">
        <v>0</v>
      </c>
      <c r="BE57" s="10">
        <v>0</v>
      </c>
      <c r="BF57" s="10">
        <v>0</v>
      </c>
      <c r="BG57" s="10">
        <v>0</v>
      </c>
      <c r="BH57" s="10">
        <v>0</v>
      </c>
      <c r="BI57" s="10">
        <v>0</v>
      </c>
      <c r="BJ57" s="10">
        <v>0</v>
      </c>
      <c r="BK57" s="10">
        <v>0</v>
      </c>
      <c r="BL57" s="10">
        <v>0</v>
      </c>
      <c r="BM57" s="10">
        <v>0</v>
      </c>
      <c r="BN57" s="10">
        <v>0</v>
      </c>
      <c r="BO57" s="10">
        <v>0</v>
      </c>
      <c r="BP57" s="10">
        <v>0</v>
      </c>
      <c r="BQ57" s="10">
        <v>0</v>
      </c>
      <c r="BR57" s="10">
        <v>0</v>
      </c>
      <c r="BS57" s="10">
        <v>0</v>
      </c>
      <c r="BT57" s="10">
        <v>0</v>
      </c>
      <c r="BU57" s="10">
        <v>0</v>
      </c>
      <c r="BV57" s="10">
        <v>0</v>
      </c>
      <c r="BW57" s="10">
        <v>0</v>
      </c>
      <c r="BX57" s="10">
        <v>0</v>
      </c>
      <c r="BY57" s="10">
        <v>0</v>
      </c>
      <c r="BZ57" s="10">
        <v>0</v>
      </c>
      <c r="CA57" s="10">
        <v>0</v>
      </c>
      <c r="CB57" s="10">
        <v>0</v>
      </c>
      <c r="CC57" s="10">
        <v>0</v>
      </c>
      <c r="CD57" s="10">
        <v>0</v>
      </c>
      <c r="CE57" s="10">
        <v>0</v>
      </c>
      <c r="CF57" s="10">
        <v>0</v>
      </c>
      <c r="CG57" s="10">
        <v>0</v>
      </c>
      <c r="CH57" s="10">
        <v>0</v>
      </c>
      <c r="CI57" s="10">
        <v>0</v>
      </c>
      <c r="CJ57" s="10">
        <v>0</v>
      </c>
      <c r="CK57" s="10">
        <v>0</v>
      </c>
      <c r="CL57" s="10">
        <v>0</v>
      </c>
      <c r="CM57" s="10">
        <v>0</v>
      </c>
      <c r="CN57" s="10">
        <v>0</v>
      </c>
      <c r="CO57" s="10">
        <v>0</v>
      </c>
      <c r="CP57" s="10">
        <v>0</v>
      </c>
      <c r="CQ57" s="10">
        <v>0</v>
      </c>
      <c r="CR57" s="10">
        <v>0</v>
      </c>
      <c r="CS57" s="10">
        <v>0</v>
      </c>
      <c r="CT57" s="10">
        <v>0</v>
      </c>
      <c r="CU57" s="10">
        <v>0</v>
      </c>
      <c r="CV57" s="10">
        <v>0</v>
      </c>
      <c r="CW57" s="10">
        <v>0</v>
      </c>
      <c r="CX57" s="10">
        <v>0</v>
      </c>
      <c r="CY57" s="10">
        <v>0</v>
      </c>
      <c r="CZ57" s="10">
        <v>0</v>
      </c>
      <c r="DA57" s="10">
        <v>0</v>
      </c>
      <c r="DB57" s="10">
        <v>0</v>
      </c>
      <c r="DC57" s="10">
        <v>0</v>
      </c>
      <c r="DD57" s="10">
        <v>0</v>
      </c>
      <c r="DE57" s="10">
        <v>0</v>
      </c>
      <c r="DF57" s="10">
        <v>0</v>
      </c>
      <c r="DG57" s="10">
        <v>0</v>
      </c>
      <c r="DH57" s="10">
        <v>0</v>
      </c>
      <c r="DI57" s="10">
        <v>0</v>
      </c>
      <c r="DJ57" s="10">
        <v>0</v>
      </c>
      <c r="DK57" s="10">
        <v>0</v>
      </c>
      <c r="DL57" s="10">
        <v>0</v>
      </c>
      <c r="DM57" s="10">
        <v>0</v>
      </c>
      <c r="DN57" s="10">
        <v>0</v>
      </c>
      <c r="DO57" s="10">
        <v>0</v>
      </c>
      <c r="DP57" s="10">
        <v>0</v>
      </c>
      <c r="DQ57" s="10">
        <v>0</v>
      </c>
      <c r="DR57" s="10">
        <v>0</v>
      </c>
      <c r="DS57" s="10">
        <v>0</v>
      </c>
      <c r="DT57" s="10">
        <v>0</v>
      </c>
      <c r="DU57" s="10">
        <v>0</v>
      </c>
      <c r="DV57" s="10">
        <v>0</v>
      </c>
      <c r="DW57" s="10">
        <v>0</v>
      </c>
      <c r="DX57" s="10">
        <v>0</v>
      </c>
      <c r="DY57" s="10">
        <v>0</v>
      </c>
      <c r="DZ57" s="10">
        <v>0</v>
      </c>
      <c r="EA57" s="10">
        <v>0</v>
      </c>
      <c r="EB57" s="10">
        <v>0</v>
      </c>
      <c r="EC57" s="10">
        <v>0</v>
      </c>
      <c r="ED57" s="10">
        <v>0</v>
      </c>
      <c r="EE57" s="10">
        <v>0</v>
      </c>
      <c r="EF57" s="10">
        <v>0</v>
      </c>
      <c r="EG57" s="10">
        <v>0</v>
      </c>
      <c r="EH57" s="10">
        <v>0</v>
      </c>
      <c r="EI57" s="10">
        <v>0</v>
      </c>
      <c r="EJ57" s="10">
        <v>0</v>
      </c>
      <c r="EK57" s="10">
        <v>0</v>
      </c>
      <c r="EL57" s="10">
        <v>0</v>
      </c>
      <c r="EM57" s="10">
        <v>0</v>
      </c>
      <c r="EN57" s="10">
        <v>0</v>
      </c>
      <c r="EO57" s="10">
        <v>0</v>
      </c>
      <c r="EP57" s="10">
        <v>0</v>
      </c>
      <c r="EQ57" s="10">
        <v>0</v>
      </c>
      <c r="ER57" s="10">
        <v>0</v>
      </c>
      <c r="ES57" s="10">
        <v>0</v>
      </c>
      <c r="ET57" s="10">
        <v>0</v>
      </c>
      <c r="EU57" s="10">
        <v>0</v>
      </c>
      <c r="EV57" s="10">
        <v>0</v>
      </c>
      <c r="EW57" s="10">
        <v>0</v>
      </c>
      <c r="EX57" s="10">
        <v>0</v>
      </c>
      <c r="EY57" s="10">
        <v>0</v>
      </c>
      <c r="EZ57" s="10">
        <v>0</v>
      </c>
      <c r="FA57" s="10">
        <v>0</v>
      </c>
      <c r="FB57" s="10">
        <v>0</v>
      </c>
      <c r="FC57" s="10">
        <v>0</v>
      </c>
      <c r="FD57" s="10">
        <v>0</v>
      </c>
      <c r="FE57" s="10">
        <v>0</v>
      </c>
      <c r="FF57" s="10">
        <v>0</v>
      </c>
      <c r="FG57" s="10">
        <v>0</v>
      </c>
      <c r="FH57" s="10">
        <v>0</v>
      </c>
      <c r="FI57" s="10">
        <v>0</v>
      </c>
      <c r="FJ57" s="10">
        <v>0</v>
      </c>
      <c r="FK57" s="10">
        <v>0</v>
      </c>
      <c r="FL57" s="10">
        <v>0</v>
      </c>
      <c r="FM57" s="10">
        <v>0</v>
      </c>
      <c r="FN57" s="10">
        <v>0</v>
      </c>
      <c r="FO57" s="10">
        <v>0</v>
      </c>
      <c r="FP57" s="10">
        <v>0</v>
      </c>
      <c r="FQ57" s="10">
        <v>0</v>
      </c>
      <c r="FR57" s="10">
        <v>0</v>
      </c>
      <c r="FS57" s="10">
        <v>0</v>
      </c>
      <c r="FT57" s="10">
        <v>0</v>
      </c>
      <c r="FU57" s="10">
        <v>0</v>
      </c>
      <c r="FV57" s="1">
        <v>0</v>
      </c>
      <c r="FW57" s="1">
        <v>0</v>
      </c>
      <c r="FX57" s="1">
        <v>0</v>
      </c>
      <c r="FY57" s="1">
        <v>0</v>
      </c>
      <c r="FZ57" s="10">
        <v>0</v>
      </c>
      <c r="GA57" s="1">
        <v>0</v>
      </c>
      <c r="GB57" s="1">
        <v>0</v>
      </c>
      <c r="GC57" s="10">
        <v>0</v>
      </c>
      <c r="GD57" s="1">
        <v>0</v>
      </c>
      <c r="GE57" s="10">
        <v>0</v>
      </c>
      <c r="GF57" s="10">
        <v>0</v>
      </c>
      <c r="GG57" s="1">
        <v>0</v>
      </c>
      <c r="GH57" s="1">
        <v>0</v>
      </c>
      <c r="GI57" s="10">
        <v>0</v>
      </c>
      <c r="GJ57" s="10">
        <v>0</v>
      </c>
      <c r="GK57" s="1">
        <v>0</v>
      </c>
      <c r="GL57" s="10">
        <v>0</v>
      </c>
      <c r="GM57" s="1">
        <v>0</v>
      </c>
      <c r="GN57" s="1">
        <v>0</v>
      </c>
      <c r="GO57" s="10">
        <v>0</v>
      </c>
      <c r="GP57" s="1">
        <v>0</v>
      </c>
      <c r="GQ57" s="1">
        <v>0</v>
      </c>
      <c r="GR57" s="1">
        <v>0</v>
      </c>
      <c r="GS57" s="1">
        <v>0</v>
      </c>
      <c r="GT57" s="10">
        <v>0</v>
      </c>
      <c r="GU57" s="1">
        <v>0</v>
      </c>
      <c r="GV57" s="1">
        <v>0</v>
      </c>
      <c r="GW57" s="1">
        <v>0</v>
      </c>
      <c r="GX57" s="1">
        <v>0</v>
      </c>
      <c r="GY57" s="10">
        <v>0</v>
      </c>
      <c r="GZ57" s="10">
        <v>0</v>
      </c>
      <c r="HA57" s="10">
        <v>0</v>
      </c>
      <c r="HB57" s="10">
        <v>0</v>
      </c>
      <c r="HC57" s="10">
        <v>0</v>
      </c>
      <c r="HD57" s="10">
        <v>0</v>
      </c>
      <c r="HE57" s="10">
        <v>0</v>
      </c>
      <c r="HF57" s="10">
        <v>0</v>
      </c>
      <c r="HG57" s="10">
        <v>0</v>
      </c>
      <c r="HH57" s="10">
        <v>0</v>
      </c>
      <c r="HI57" s="10">
        <v>0</v>
      </c>
      <c r="HJ57" s="10">
        <v>0</v>
      </c>
      <c r="HK57" s="10">
        <v>0</v>
      </c>
      <c r="HL57" s="10">
        <v>0</v>
      </c>
      <c r="HM57" s="10">
        <v>0</v>
      </c>
      <c r="HN57" s="10">
        <v>0</v>
      </c>
      <c r="HO57" s="10">
        <v>0</v>
      </c>
      <c r="HP57" s="1">
        <v>0</v>
      </c>
      <c r="HQ57" s="1">
        <v>0</v>
      </c>
      <c r="HR57" s="1">
        <v>0</v>
      </c>
      <c r="HS57" s="1">
        <v>0</v>
      </c>
      <c r="HT57" s="1">
        <v>0</v>
      </c>
      <c r="HU57" s="1">
        <v>0</v>
      </c>
      <c r="HV57" s="1">
        <v>0</v>
      </c>
      <c r="HW57" s="1">
        <v>0</v>
      </c>
      <c r="HX57" s="1">
        <v>0</v>
      </c>
      <c r="HY57" s="1">
        <v>0</v>
      </c>
      <c r="HZ57" s="1">
        <v>0</v>
      </c>
      <c r="IA57" s="1">
        <v>0</v>
      </c>
      <c r="IB57" s="1">
        <v>0</v>
      </c>
      <c r="IC57" s="1">
        <v>0</v>
      </c>
      <c r="ID57" s="1">
        <v>0</v>
      </c>
      <c r="IE57" s="1">
        <v>0</v>
      </c>
      <c r="IF57" s="1">
        <v>0</v>
      </c>
      <c r="IG57" s="1">
        <v>0</v>
      </c>
      <c r="IH57" s="1">
        <v>0</v>
      </c>
      <c r="II57" s="1">
        <v>0</v>
      </c>
      <c r="IJ57" s="1">
        <v>0</v>
      </c>
      <c r="IK57" s="1">
        <v>0</v>
      </c>
      <c r="IL57" s="1">
        <v>0</v>
      </c>
      <c r="IM57" s="1">
        <v>0</v>
      </c>
      <c r="IN57" s="1">
        <v>0</v>
      </c>
      <c r="IO57" s="1">
        <v>0</v>
      </c>
      <c r="IP57" s="1">
        <v>0</v>
      </c>
      <c r="IQ57" s="1">
        <v>0</v>
      </c>
      <c r="IR57" s="1">
        <v>0</v>
      </c>
      <c r="IS57" s="1">
        <v>0</v>
      </c>
      <c r="IT57" s="1">
        <v>0</v>
      </c>
      <c r="IU57" s="1">
        <v>0</v>
      </c>
      <c r="IV57" s="1">
        <v>0</v>
      </c>
      <c r="IW57" s="1">
        <v>0</v>
      </c>
      <c r="IX57" s="1">
        <v>0</v>
      </c>
      <c r="IY57" s="1">
        <v>0</v>
      </c>
      <c r="IZ57" s="1">
        <v>0</v>
      </c>
      <c r="JA57" s="1">
        <v>0</v>
      </c>
      <c r="JB57" s="1">
        <v>0</v>
      </c>
      <c r="JC57" s="1">
        <v>0</v>
      </c>
      <c r="JD57" s="1">
        <v>0</v>
      </c>
      <c r="JE57" s="1">
        <v>0</v>
      </c>
      <c r="JF57" s="1">
        <v>0</v>
      </c>
      <c r="JG57" s="1">
        <v>0</v>
      </c>
      <c r="JH57" s="1">
        <v>0</v>
      </c>
      <c r="JI57" s="1">
        <v>0</v>
      </c>
      <c r="JJ57" s="1">
        <v>0</v>
      </c>
      <c r="JK57" s="1">
        <v>0</v>
      </c>
      <c r="JL57" s="1">
        <v>0</v>
      </c>
      <c r="JM57" s="1">
        <v>0</v>
      </c>
      <c r="JN57" s="1">
        <v>0</v>
      </c>
      <c r="JO57" s="1">
        <v>0</v>
      </c>
      <c r="JP57" s="1">
        <v>0</v>
      </c>
      <c r="JQ57" s="1">
        <v>0</v>
      </c>
      <c r="JR57" s="1">
        <v>0</v>
      </c>
      <c r="JS57" s="1">
        <v>0</v>
      </c>
      <c r="JT57" s="1">
        <v>0</v>
      </c>
      <c r="JU57" s="1">
        <v>0</v>
      </c>
      <c r="JV57" s="1">
        <v>0</v>
      </c>
      <c r="JW57" s="1">
        <v>0</v>
      </c>
      <c r="JX57" s="1">
        <v>0</v>
      </c>
      <c r="JY57" s="1">
        <v>0</v>
      </c>
      <c r="JZ57" s="1">
        <v>0</v>
      </c>
      <c r="KA57" s="1">
        <v>0</v>
      </c>
      <c r="KB57" s="1">
        <v>0</v>
      </c>
      <c r="KC57" s="1">
        <v>0</v>
      </c>
    </row>
    <row r="58" spans="1:289" x14ac:dyDescent="0.15">
      <c r="A58" s="8"/>
      <c r="BX58" s="10"/>
      <c r="CX58" s="10"/>
      <c r="CY58" s="10"/>
      <c r="DD58" s="10"/>
      <c r="HU58" s="2"/>
      <c r="HV58" s="2"/>
      <c r="HW58" s="2"/>
      <c r="HX58" s="2"/>
      <c r="HY58" s="2"/>
      <c r="HZ58" s="2"/>
      <c r="IA58" s="2"/>
      <c r="IB58" s="2"/>
      <c r="IC58" s="2"/>
      <c r="ID58" s="2"/>
      <c r="IE58" s="2"/>
    </row>
    <row r="59" spans="1:289" x14ac:dyDescent="0.15">
      <c r="A59" s="8"/>
      <c r="HU59" s="2"/>
      <c r="HV59" s="2"/>
      <c r="HW59" s="2"/>
      <c r="HX59" s="2"/>
      <c r="HY59" s="2"/>
    </row>
    <row r="60" spans="1:289" x14ac:dyDescent="0.15">
      <c r="A60" s="8"/>
      <c r="BX60" s="10"/>
      <c r="HU60" s="2"/>
      <c r="HV60" s="2"/>
      <c r="HW60" s="2"/>
      <c r="HX60" s="2"/>
      <c r="HY60" s="2"/>
    </row>
    <row r="61" spans="1:289" x14ac:dyDescent="0.15">
      <c r="A61" s="8"/>
      <c r="BX61" s="10"/>
      <c r="HU61" s="2"/>
      <c r="HV61" s="2"/>
      <c r="HW61" s="2"/>
      <c r="HX61" s="2"/>
      <c r="HY61" s="2"/>
    </row>
    <row r="62" spans="1:289" x14ac:dyDescent="0.15">
      <c r="A62" s="8"/>
      <c r="HU62" s="2"/>
      <c r="HV62" s="2"/>
      <c r="HW62" s="2"/>
      <c r="HX62" s="2"/>
      <c r="HY62" s="2"/>
    </row>
    <row r="63" spans="1:289" x14ac:dyDescent="0.15">
      <c r="A63" s="8"/>
      <c r="HU63" s="2"/>
      <c r="HV63" s="2"/>
      <c r="HW63" s="2"/>
      <c r="HX63" s="2"/>
      <c r="HY63" s="2"/>
    </row>
    <row r="106" spans="9:160" x14ac:dyDescent="0.15">
      <c r="AF106" s="4"/>
    </row>
    <row r="107" spans="9:160" x14ac:dyDescent="0.15">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Z107" s="4"/>
      <c r="DA107" s="4"/>
      <c r="DB107" s="4"/>
      <c r="DC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row>
    <row r="108" spans="9:160" x14ac:dyDescent="0.15">
      <c r="I108" s="4"/>
      <c r="J108" s="4"/>
      <c r="K108" s="4"/>
      <c r="L108" s="4"/>
      <c r="M108" s="4"/>
      <c r="N108" s="4"/>
      <c r="O108" s="4"/>
      <c r="P108" s="4"/>
      <c r="Q108" s="4"/>
      <c r="R108" s="4"/>
      <c r="S108" s="4"/>
      <c r="T108" s="4"/>
      <c r="U108" s="4"/>
      <c r="V108" s="4"/>
      <c r="W108" s="4"/>
      <c r="X108" s="4"/>
      <c r="Y108" s="4"/>
      <c r="Z108" s="4"/>
      <c r="AA108" s="4"/>
      <c r="AB108" s="4"/>
      <c r="AC108" s="4"/>
      <c r="AD108" s="4"/>
      <c r="AE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row>
    <row r="109" spans="9:160" x14ac:dyDescent="0.15">
      <c r="CX109" s="4"/>
      <c r="CY109" s="4"/>
      <c r="DD109" s="4"/>
    </row>
  </sheetData>
  <sheetProtection password="D3C7" sheet="1" objects="1" scenarios="1"/>
  <phoneticPr fontId="0" type="noConversion"/>
  <pageMargins left="0.28000000000000003" right="0.25" top="0.37" bottom="0.24" header="0.28000000000000003" footer="0.19"/>
  <pageSetup orientation="portrait" horizontalDpi="180" verticalDpi="18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63"/>
  <sheetViews>
    <sheetView topLeftCell="A10" workbookViewId="0">
      <selection activeCell="A4" sqref="A4"/>
    </sheetView>
  </sheetViews>
  <sheetFormatPr baseColWidth="10" defaultColWidth="8.83203125" defaultRowHeight="13" x14ac:dyDescent="0.15"/>
  <cols>
    <col min="1" max="1" width="8.83203125" style="33"/>
    <col min="2" max="3" width="8.6640625" style="33" customWidth="1"/>
    <col min="4" max="4" width="14.1640625" style="33" customWidth="1"/>
    <col min="5" max="5" width="17.5" style="33" customWidth="1"/>
    <col min="6" max="6" width="10.6640625" style="33" customWidth="1"/>
    <col min="7" max="7" width="12.1640625" style="33" customWidth="1"/>
    <col min="8" max="8" width="16.6640625" style="33" customWidth="1"/>
    <col min="9" max="9" width="20.6640625" style="33" customWidth="1"/>
    <col min="10" max="16384" width="8.83203125" style="33"/>
  </cols>
  <sheetData>
    <row r="2" spans="2:9" ht="23" x14ac:dyDescent="0.25">
      <c r="B2" s="418" t="s">
        <v>364</v>
      </c>
      <c r="C2" s="419"/>
      <c r="D2" s="419"/>
      <c r="E2" s="419"/>
      <c r="F2" s="419"/>
      <c r="G2" s="419"/>
      <c r="H2" s="419"/>
      <c r="I2" s="420"/>
    </row>
    <row r="3" spans="2:9" ht="23" x14ac:dyDescent="0.25">
      <c r="B3" s="421" t="s">
        <v>365</v>
      </c>
      <c r="C3" s="422"/>
      <c r="D3" s="422"/>
      <c r="E3" s="422"/>
      <c r="F3" s="422"/>
      <c r="G3" s="422"/>
      <c r="H3" s="422"/>
      <c r="I3" s="423"/>
    </row>
    <row r="4" spans="2:9" x14ac:dyDescent="0.15">
      <c r="B4" s="112"/>
      <c r="C4" s="113"/>
      <c r="D4" s="113"/>
      <c r="E4" s="113"/>
      <c r="F4" s="113"/>
      <c r="G4" s="113"/>
      <c r="H4" s="113"/>
      <c r="I4" s="114"/>
    </row>
    <row r="5" spans="2:9" ht="15" customHeight="1" x14ac:dyDescent="0.15">
      <c r="B5" s="120"/>
      <c r="C5" s="123"/>
      <c r="D5" s="123"/>
      <c r="E5" s="123"/>
      <c r="F5" s="123"/>
      <c r="G5" s="123"/>
      <c r="H5" s="123"/>
      <c r="I5" s="124"/>
    </row>
    <row r="6" spans="2:9" ht="15" customHeight="1" x14ac:dyDescent="0.2">
      <c r="B6" s="120" t="s">
        <v>347</v>
      </c>
      <c r="C6" s="424" t="str">
        <f>APCS!C3:J3</f>
        <v>Endowment Assurance</v>
      </c>
      <c r="D6" s="424"/>
      <c r="E6" s="424"/>
      <c r="F6" s="424"/>
      <c r="G6" s="115" t="s">
        <v>352</v>
      </c>
      <c r="H6" s="123"/>
      <c r="I6" s="131">
        <f>G33</f>
        <v>3304000</v>
      </c>
    </row>
    <row r="7" spans="2:9" ht="15" customHeight="1" x14ac:dyDescent="0.2">
      <c r="B7" s="120" t="s">
        <v>348</v>
      </c>
      <c r="C7" s="121"/>
      <c r="D7" s="123"/>
      <c r="E7" s="134">
        <f>APCS!G8</f>
        <v>20</v>
      </c>
      <c r="F7" s="123"/>
      <c r="G7" s="116"/>
      <c r="H7" s="123"/>
      <c r="I7" s="117"/>
    </row>
    <row r="8" spans="2:9" ht="15" customHeight="1" x14ac:dyDescent="0.2">
      <c r="B8" s="120" t="s">
        <v>350</v>
      </c>
      <c r="C8" s="123"/>
      <c r="D8" s="134" t="str">
        <f>IF(APCS!G13="Y","AIB",IF(APCS!G14="Y","ADB",""))</f>
        <v>ADB</v>
      </c>
      <c r="E8" s="134" t="str">
        <f>IF(APCS!G10="Y","FIB","")</f>
        <v/>
      </c>
      <c r="F8" s="123"/>
      <c r="G8" s="115" t="s">
        <v>353</v>
      </c>
      <c r="H8" s="123"/>
      <c r="I8" s="132">
        <f>SUM(D14:D33)</f>
        <v>975600</v>
      </c>
    </row>
    <row r="9" spans="2:9" ht="15" customHeight="1" x14ac:dyDescent="0.15">
      <c r="B9" s="120" t="s">
        <v>354</v>
      </c>
      <c r="C9" s="121"/>
      <c r="D9" s="123"/>
      <c r="E9" s="135">
        <f>APCS!G4</f>
        <v>1000000</v>
      </c>
      <c r="F9" s="121"/>
      <c r="G9" s="121"/>
      <c r="H9" s="121"/>
      <c r="I9" s="122"/>
    </row>
    <row r="10" spans="2:9" ht="15" customHeight="1" x14ac:dyDescent="0.2">
      <c r="B10" s="120" t="s">
        <v>355</v>
      </c>
      <c r="C10" s="121"/>
      <c r="D10" s="123"/>
      <c r="E10" s="136">
        <f>APCS!J5</f>
        <v>48780</v>
      </c>
      <c r="F10" s="123"/>
      <c r="G10" s="115" t="s">
        <v>349</v>
      </c>
      <c r="H10" s="123"/>
      <c r="I10" s="133">
        <v>2011</v>
      </c>
    </row>
    <row r="11" spans="2:9" x14ac:dyDescent="0.15">
      <c r="B11" s="120"/>
      <c r="C11" s="121"/>
      <c r="D11" s="121"/>
      <c r="E11" s="121"/>
      <c r="F11" s="121"/>
      <c r="G11" s="121"/>
      <c r="H11" s="121"/>
      <c r="I11" s="122"/>
    </row>
    <row r="12" spans="2:9" x14ac:dyDescent="0.15">
      <c r="B12" s="118" t="s">
        <v>336</v>
      </c>
      <c r="C12" s="118" t="s">
        <v>299</v>
      </c>
      <c r="D12" s="118" t="s">
        <v>337</v>
      </c>
      <c r="E12" s="118" t="s">
        <v>338</v>
      </c>
      <c r="F12" s="118" t="s">
        <v>339</v>
      </c>
      <c r="G12" s="118" t="s">
        <v>341</v>
      </c>
      <c r="H12" s="118" t="s">
        <v>342</v>
      </c>
      <c r="I12" s="118" t="s">
        <v>344</v>
      </c>
    </row>
    <row r="13" spans="2:9" x14ac:dyDescent="0.15">
      <c r="B13" s="119"/>
      <c r="C13" s="119"/>
      <c r="D13" s="119" t="s">
        <v>346</v>
      </c>
      <c r="E13" s="119" t="s">
        <v>251</v>
      </c>
      <c r="F13" s="119" t="s">
        <v>340</v>
      </c>
      <c r="G13" s="119" t="s">
        <v>338</v>
      </c>
      <c r="H13" s="119" t="s">
        <v>343</v>
      </c>
      <c r="I13" s="119" t="s">
        <v>345</v>
      </c>
    </row>
    <row r="14" spans="2:9" ht="20" customHeight="1" x14ac:dyDescent="0.15">
      <c r="B14" s="125">
        <v>1</v>
      </c>
      <c r="C14" s="125">
        <f>I10</f>
        <v>2011</v>
      </c>
      <c r="D14" s="126">
        <f>E10</f>
        <v>48780</v>
      </c>
      <c r="E14" s="125">
        <f>IF(E7&gt;=20,50,IF(E7&gt;=15,35,IF(E7&gt;=10,20,"Fail")))</f>
        <v>50</v>
      </c>
      <c r="F14" s="127">
        <f>E14*E9/1000</f>
        <v>50000</v>
      </c>
      <c r="G14" s="127">
        <f>F14+E9</f>
        <v>1050000</v>
      </c>
      <c r="H14" s="127">
        <f>G14</f>
        <v>1050000</v>
      </c>
      <c r="I14" s="127">
        <f>IF(OR(D8="adb",D8="aib"),H14+B59,H14)</f>
        <v>2050000</v>
      </c>
    </row>
    <row r="15" spans="2:9" ht="20" customHeight="1" x14ac:dyDescent="0.15">
      <c r="B15" s="128">
        <v>2</v>
      </c>
      <c r="C15" s="128">
        <f>C14+1</f>
        <v>2012</v>
      </c>
      <c r="D15" s="129">
        <f>D14</f>
        <v>48780</v>
      </c>
      <c r="E15" s="128">
        <f>E14</f>
        <v>50</v>
      </c>
      <c r="F15" s="130">
        <f>E15*E9/1000</f>
        <v>50000</v>
      </c>
      <c r="G15" s="130">
        <f>F15+G14</f>
        <v>1100000</v>
      </c>
      <c r="H15" s="130">
        <f t="shared" ref="H15:H33" si="0">G15</f>
        <v>1100000</v>
      </c>
      <c r="I15" s="130">
        <f>IF(OR(D8="adb",D8="aib"),H15+B59,H15)</f>
        <v>2100000</v>
      </c>
    </row>
    <row r="16" spans="2:9" ht="20" customHeight="1" x14ac:dyDescent="0.15">
      <c r="B16" s="125">
        <v>3</v>
      </c>
      <c r="C16" s="125">
        <f t="shared" ref="C16:C33" si="1">C15+1</f>
        <v>2013</v>
      </c>
      <c r="D16" s="126">
        <f t="shared" ref="D16:D33" si="2">D15</f>
        <v>48780</v>
      </c>
      <c r="E16" s="125">
        <f>E15</f>
        <v>50</v>
      </c>
      <c r="F16" s="127">
        <f>E16*E9/1000</f>
        <v>50000</v>
      </c>
      <c r="G16" s="127">
        <f t="shared" ref="G16:G33" si="3">F16+G15</f>
        <v>1150000</v>
      </c>
      <c r="H16" s="127">
        <f t="shared" si="0"/>
        <v>1150000</v>
      </c>
      <c r="I16" s="127">
        <f>IF(OR(D8="adb",D8="aib"),H16+B59,H16)</f>
        <v>2150000</v>
      </c>
    </row>
    <row r="17" spans="2:9" ht="20" customHeight="1" x14ac:dyDescent="0.15">
      <c r="B17" s="128">
        <v>4</v>
      </c>
      <c r="C17" s="128">
        <f t="shared" si="1"/>
        <v>2014</v>
      </c>
      <c r="D17" s="129">
        <f t="shared" si="2"/>
        <v>48780</v>
      </c>
      <c r="E17" s="128">
        <f>E16</f>
        <v>50</v>
      </c>
      <c r="F17" s="130">
        <f>E17*E9/1000</f>
        <v>50000</v>
      </c>
      <c r="G17" s="130">
        <f t="shared" si="3"/>
        <v>1200000</v>
      </c>
      <c r="H17" s="130">
        <f t="shared" si="0"/>
        <v>1200000</v>
      </c>
      <c r="I17" s="130">
        <f>IF(OR(D8="adb",D8="aib"),H17+B59,H17)</f>
        <v>2200000</v>
      </c>
    </row>
    <row r="18" spans="2:9" ht="20" customHeight="1" x14ac:dyDescent="0.15">
      <c r="B18" s="125">
        <v>5</v>
      </c>
      <c r="C18" s="125">
        <f t="shared" si="1"/>
        <v>2015</v>
      </c>
      <c r="D18" s="126">
        <f t="shared" si="2"/>
        <v>48780</v>
      </c>
      <c r="E18" s="125">
        <f>E17</f>
        <v>50</v>
      </c>
      <c r="F18" s="127">
        <f>E18*E9/1000</f>
        <v>50000</v>
      </c>
      <c r="G18" s="127">
        <f t="shared" si="3"/>
        <v>1250000</v>
      </c>
      <c r="H18" s="127">
        <f t="shared" si="0"/>
        <v>1250000</v>
      </c>
      <c r="I18" s="127">
        <f>IF(OR(D8="adb",D8="aib"),H18+B59,H18)</f>
        <v>2250000</v>
      </c>
    </row>
    <row r="19" spans="2:9" ht="20" customHeight="1" x14ac:dyDescent="0.15">
      <c r="B19" s="128">
        <v>6</v>
      </c>
      <c r="C19" s="128">
        <f t="shared" si="1"/>
        <v>2016</v>
      </c>
      <c r="D19" s="129">
        <f t="shared" si="2"/>
        <v>48780</v>
      </c>
      <c r="E19" s="128">
        <f>IF(E7&gt;=20,94,IF(E7&gt;=15,81,IF(E7&gt;=10,66,"Fail")))</f>
        <v>94</v>
      </c>
      <c r="F19" s="130">
        <f>E19*E9/1000</f>
        <v>94000</v>
      </c>
      <c r="G19" s="130">
        <f t="shared" si="3"/>
        <v>1344000</v>
      </c>
      <c r="H19" s="130">
        <f t="shared" si="0"/>
        <v>1344000</v>
      </c>
      <c r="I19" s="130">
        <f>IF(OR(D8="adb",D8="aib"),H19+B59,H19)</f>
        <v>2344000</v>
      </c>
    </row>
    <row r="20" spans="2:9" ht="20" customHeight="1" x14ac:dyDescent="0.15">
      <c r="B20" s="125">
        <v>7</v>
      </c>
      <c r="C20" s="125">
        <f t="shared" si="1"/>
        <v>2017</v>
      </c>
      <c r="D20" s="126">
        <f t="shared" si="2"/>
        <v>48780</v>
      </c>
      <c r="E20" s="125">
        <f>E19</f>
        <v>94</v>
      </c>
      <c r="F20" s="127">
        <f>E20*E9/1000</f>
        <v>94000</v>
      </c>
      <c r="G20" s="127">
        <f t="shared" si="3"/>
        <v>1438000</v>
      </c>
      <c r="H20" s="127">
        <f t="shared" si="0"/>
        <v>1438000</v>
      </c>
      <c r="I20" s="127">
        <f>IF(OR(D8="adb",D8="aib"),H20+B59,H20)</f>
        <v>2438000</v>
      </c>
    </row>
    <row r="21" spans="2:9" ht="20" customHeight="1" x14ac:dyDescent="0.15">
      <c r="B21" s="128">
        <v>8</v>
      </c>
      <c r="C21" s="128">
        <f t="shared" si="1"/>
        <v>2018</v>
      </c>
      <c r="D21" s="129">
        <f t="shared" si="2"/>
        <v>48780</v>
      </c>
      <c r="E21" s="128">
        <f t="shared" ref="E21:E29" si="4">E20</f>
        <v>94</v>
      </c>
      <c r="F21" s="130">
        <f>E21*E9/1000</f>
        <v>94000</v>
      </c>
      <c r="G21" s="130">
        <f t="shared" si="3"/>
        <v>1532000</v>
      </c>
      <c r="H21" s="130">
        <f t="shared" si="0"/>
        <v>1532000</v>
      </c>
      <c r="I21" s="130">
        <f>IF(OR(D8="adb",D8="aib"),H21+B59,H21)</f>
        <v>2532000</v>
      </c>
    </row>
    <row r="22" spans="2:9" ht="20" customHeight="1" x14ac:dyDescent="0.15">
      <c r="B22" s="125">
        <v>9</v>
      </c>
      <c r="C22" s="125">
        <f t="shared" si="1"/>
        <v>2019</v>
      </c>
      <c r="D22" s="126">
        <f t="shared" si="2"/>
        <v>48780</v>
      </c>
      <c r="E22" s="125">
        <f t="shared" si="4"/>
        <v>94</v>
      </c>
      <c r="F22" s="127">
        <f>E22*E9/1000</f>
        <v>94000</v>
      </c>
      <c r="G22" s="127">
        <f t="shared" si="3"/>
        <v>1626000</v>
      </c>
      <c r="H22" s="127">
        <f t="shared" si="0"/>
        <v>1626000</v>
      </c>
      <c r="I22" s="127">
        <f>IF(OR(D8="adb",D8="aib"),H22+B59,H22)</f>
        <v>2626000</v>
      </c>
    </row>
    <row r="23" spans="2:9" ht="20" customHeight="1" x14ac:dyDescent="0.15">
      <c r="B23" s="128">
        <v>10</v>
      </c>
      <c r="C23" s="128">
        <f t="shared" si="1"/>
        <v>2020</v>
      </c>
      <c r="D23" s="129">
        <f t="shared" si="2"/>
        <v>48780</v>
      </c>
      <c r="E23" s="128">
        <f t="shared" si="4"/>
        <v>94</v>
      </c>
      <c r="F23" s="130">
        <f>E23*E9/1000</f>
        <v>94000</v>
      </c>
      <c r="G23" s="130">
        <f t="shared" si="3"/>
        <v>1720000</v>
      </c>
      <c r="H23" s="130">
        <f t="shared" si="0"/>
        <v>1720000</v>
      </c>
      <c r="I23" s="130">
        <f>IF(OR(D8="adb",D8="aib"),H23+B59,H23)</f>
        <v>2720000</v>
      </c>
    </row>
    <row r="24" spans="2:9" ht="20" customHeight="1" x14ac:dyDescent="0.15">
      <c r="B24" s="125">
        <v>11</v>
      </c>
      <c r="C24" s="125">
        <f t="shared" si="1"/>
        <v>2021</v>
      </c>
      <c r="D24" s="126">
        <f t="shared" si="2"/>
        <v>48780</v>
      </c>
      <c r="E24" s="125">
        <f>IF(E8="FIB",E23+50+10,E23+50)</f>
        <v>144</v>
      </c>
      <c r="F24" s="127">
        <f>E24*E9/1000</f>
        <v>144000</v>
      </c>
      <c r="G24" s="127">
        <f t="shared" si="3"/>
        <v>1864000</v>
      </c>
      <c r="H24" s="127">
        <f t="shared" si="0"/>
        <v>1864000</v>
      </c>
      <c r="I24" s="127">
        <f>IF(OR(D8="adb",D8="aib"),H24+B59,H24)</f>
        <v>2864000</v>
      </c>
    </row>
    <row r="25" spans="2:9" ht="20" customHeight="1" x14ac:dyDescent="0.15">
      <c r="B25" s="128">
        <v>12</v>
      </c>
      <c r="C25" s="128">
        <f t="shared" si="1"/>
        <v>2022</v>
      </c>
      <c r="D25" s="129">
        <f t="shared" si="2"/>
        <v>48780</v>
      </c>
      <c r="E25" s="128">
        <f t="shared" si="4"/>
        <v>144</v>
      </c>
      <c r="F25" s="130">
        <f>E25*E9/1000</f>
        <v>144000</v>
      </c>
      <c r="G25" s="130">
        <f t="shared" si="3"/>
        <v>2008000</v>
      </c>
      <c r="H25" s="130">
        <f t="shared" si="0"/>
        <v>2008000</v>
      </c>
      <c r="I25" s="130">
        <f>IF(OR(D8="adb",D8="aib"),H25+B59,H25)</f>
        <v>3008000</v>
      </c>
    </row>
    <row r="26" spans="2:9" ht="20" customHeight="1" x14ac:dyDescent="0.15">
      <c r="B26" s="125">
        <v>13</v>
      </c>
      <c r="C26" s="125">
        <f t="shared" si="1"/>
        <v>2023</v>
      </c>
      <c r="D26" s="126">
        <f t="shared" si="2"/>
        <v>48780</v>
      </c>
      <c r="E26" s="125">
        <f t="shared" si="4"/>
        <v>144</v>
      </c>
      <c r="F26" s="127">
        <f>E26*E9/1000</f>
        <v>144000</v>
      </c>
      <c r="G26" s="127">
        <f t="shared" si="3"/>
        <v>2152000</v>
      </c>
      <c r="H26" s="127">
        <f t="shared" si="0"/>
        <v>2152000</v>
      </c>
      <c r="I26" s="127">
        <f>IF(OR(D8="adb",D8="aib"),H26+B59,H26)</f>
        <v>3152000</v>
      </c>
    </row>
    <row r="27" spans="2:9" ht="20" customHeight="1" x14ac:dyDescent="0.15">
      <c r="B27" s="128">
        <v>14</v>
      </c>
      <c r="C27" s="128">
        <f t="shared" si="1"/>
        <v>2024</v>
      </c>
      <c r="D27" s="129">
        <f t="shared" si="2"/>
        <v>48780</v>
      </c>
      <c r="E27" s="128">
        <f t="shared" si="4"/>
        <v>144</v>
      </c>
      <c r="F27" s="130">
        <f>E27*E9/1000</f>
        <v>144000</v>
      </c>
      <c r="G27" s="130">
        <f t="shared" si="3"/>
        <v>2296000</v>
      </c>
      <c r="H27" s="130">
        <f t="shared" si="0"/>
        <v>2296000</v>
      </c>
      <c r="I27" s="130">
        <f>IF(OR(D8="adb",D8="aib"),H27+B59,H27)</f>
        <v>3296000</v>
      </c>
    </row>
    <row r="28" spans="2:9" ht="20" customHeight="1" x14ac:dyDescent="0.15">
      <c r="B28" s="125">
        <v>15</v>
      </c>
      <c r="C28" s="125">
        <f t="shared" si="1"/>
        <v>2025</v>
      </c>
      <c r="D28" s="126">
        <f t="shared" si="2"/>
        <v>48780</v>
      </c>
      <c r="E28" s="125">
        <f t="shared" si="4"/>
        <v>144</v>
      </c>
      <c r="F28" s="127">
        <f>E28*E9/1000</f>
        <v>144000</v>
      </c>
      <c r="G28" s="127">
        <f t="shared" si="3"/>
        <v>2440000</v>
      </c>
      <c r="H28" s="127">
        <f t="shared" si="0"/>
        <v>2440000</v>
      </c>
      <c r="I28" s="127">
        <f>IF(OR(D8="adb",D8="aib"),H28+B59,H28)</f>
        <v>3440000</v>
      </c>
    </row>
    <row r="29" spans="2:9" ht="20" customHeight="1" x14ac:dyDescent="0.15">
      <c r="B29" s="128">
        <v>16</v>
      </c>
      <c r="C29" s="128">
        <f t="shared" si="1"/>
        <v>2026</v>
      </c>
      <c r="D29" s="129">
        <f t="shared" si="2"/>
        <v>48780</v>
      </c>
      <c r="E29" s="128">
        <f t="shared" si="4"/>
        <v>144</v>
      </c>
      <c r="F29" s="130">
        <f>E29*E9/1000</f>
        <v>144000</v>
      </c>
      <c r="G29" s="130">
        <f t="shared" si="3"/>
        <v>2584000</v>
      </c>
      <c r="H29" s="130">
        <f t="shared" si="0"/>
        <v>2584000</v>
      </c>
      <c r="I29" s="130">
        <f>IF(OR(D8="adb",D8="aib"),H29+B59,H29)</f>
        <v>3584000</v>
      </c>
    </row>
    <row r="30" spans="2:9" ht="20" customHeight="1" x14ac:dyDescent="0.15">
      <c r="B30" s="125">
        <v>17</v>
      </c>
      <c r="C30" s="125">
        <f t="shared" si="1"/>
        <v>2027</v>
      </c>
      <c r="D30" s="126">
        <f t="shared" si="2"/>
        <v>48780</v>
      </c>
      <c r="E30" s="125">
        <f>IF(E8="FIB",E63+10,E63)</f>
        <v>180</v>
      </c>
      <c r="F30" s="127">
        <f>E30*E9/1000</f>
        <v>180000</v>
      </c>
      <c r="G30" s="127">
        <f t="shared" si="3"/>
        <v>2764000</v>
      </c>
      <c r="H30" s="127">
        <f t="shared" si="0"/>
        <v>2764000</v>
      </c>
      <c r="I30" s="127">
        <f>IF(OR(D8="adb",D8="aib"),H30+B59,H30)</f>
        <v>3764000</v>
      </c>
    </row>
    <row r="31" spans="2:9" ht="20" customHeight="1" x14ac:dyDescent="0.15">
      <c r="B31" s="128">
        <v>18</v>
      </c>
      <c r="C31" s="128">
        <f t="shared" si="1"/>
        <v>2028</v>
      </c>
      <c r="D31" s="129">
        <f t="shared" si="2"/>
        <v>48780</v>
      </c>
      <c r="E31" s="128">
        <f>E30</f>
        <v>180</v>
      </c>
      <c r="F31" s="130">
        <f>E31*E9/1000</f>
        <v>180000</v>
      </c>
      <c r="G31" s="130">
        <f t="shared" si="3"/>
        <v>2944000</v>
      </c>
      <c r="H31" s="130">
        <f t="shared" si="0"/>
        <v>2944000</v>
      </c>
      <c r="I31" s="130">
        <f>IF(OR(D8="adb",D8="aib"),H31+B59,H31)</f>
        <v>3944000</v>
      </c>
    </row>
    <row r="32" spans="2:9" ht="20" customHeight="1" x14ac:dyDescent="0.15">
      <c r="B32" s="125">
        <v>19</v>
      </c>
      <c r="C32" s="125">
        <f t="shared" si="1"/>
        <v>2029</v>
      </c>
      <c r="D32" s="126">
        <f t="shared" si="2"/>
        <v>48780</v>
      </c>
      <c r="E32" s="125">
        <f>E31</f>
        <v>180</v>
      </c>
      <c r="F32" s="127">
        <f>E32*E9/1000</f>
        <v>180000</v>
      </c>
      <c r="G32" s="127">
        <f t="shared" si="3"/>
        <v>3124000</v>
      </c>
      <c r="H32" s="127">
        <f t="shared" si="0"/>
        <v>3124000</v>
      </c>
      <c r="I32" s="127">
        <f>IF(OR(D8="adb",D8="aib"),H32+B59,H32)</f>
        <v>4124000</v>
      </c>
    </row>
    <row r="33" spans="2:9" ht="20" customHeight="1" x14ac:dyDescent="0.15">
      <c r="B33" s="128">
        <v>20</v>
      </c>
      <c r="C33" s="128">
        <f t="shared" si="1"/>
        <v>2030</v>
      </c>
      <c r="D33" s="129">
        <f t="shared" si="2"/>
        <v>48780</v>
      </c>
      <c r="E33" s="128">
        <f>E32</f>
        <v>180</v>
      </c>
      <c r="F33" s="130">
        <f>E33*E9/1000</f>
        <v>180000</v>
      </c>
      <c r="G33" s="130">
        <f t="shared" si="3"/>
        <v>3304000</v>
      </c>
      <c r="H33" s="130">
        <f t="shared" si="0"/>
        <v>3304000</v>
      </c>
      <c r="I33" s="130">
        <f>IF(OR(D8="adb",D8="aib"),H33+B59,H33)</f>
        <v>4304000</v>
      </c>
    </row>
    <row r="34" spans="2:9" x14ac:dyDescent="0.15">
      <c r="B34" s="120"/>
      <c r="C34" s="121"/>
      <c r="D34" s="121"/>
      <c r="E34" s="121"/>
      <c r="F34" s="121"/>
      <c r="G34" s="121"/>
      <c r="H34" s="121"/>
      <c r="I34" s="122"/>
    </row>
    <row r="35" spans="2:9" x14ac:dyDescent="0.15">
      <c r="B35" s="120"/>
      <c r="C35" s="121"/>
      <c r="D35" s="121"/>
      <c r="E35" s="121"/>
      <c r="F35" s="121"/>
      <c r="G35" s="121"/>
      <c r="H35" s="121"/>
      <c r="I35" s="122"/>
    </row>
    <row r="36" spans="2:9" x14ac:dyDescent="0.15">
      <c r="B36" s="120"/>
      <c r="C36" s="121"/>
      <c r="D36" s="121"/>
      <c r="E36" s="121"/>
      <c r="F36" s="121"/>
      <c r="G36" s="121"/>
      <c r="H36" s="121"/>
      <c r="I36" s="122"/>
    </row>
    <row r="37" spans="2:9" x14ac:dyDescent="0.15">
      <c r="B37" s="120"/>
      <c r="C37" s="121"/>
      <c r="D37" s="121"/>
      <c r="E37" s="121"/>
      <c r="F37" s="121"/>
      <c r="G37" s="121"/>
      <c r="H37" s="121"/>
      <c r="I37" s="122"/>
    </row>
    <row r="38" spans="2:9" x14ac:dyDescent="0.15">
      <c r="B38" s="120"/>
      <c r="C38" s="121"/>
      <c r="D38" s="121"/>
      <c r="E38" s="121"/>
      <c r="F38" s="121"/>
      <c r="G38" s="121"/>
      <c r="H38" s="121"/>
      <c r="I38" s="122"/>
    </row>
    <row r="39" spans="2:9" x14ac:dyDescent="0.15">
      <c r="B39" s="120"/>
      <c r="C39" s="121"/>
      <c r="D39" s="121"/>
      <c r="E39" s="121"/>
      <c r="F39" s="121"/>
      <c r="G39" s="121"/>
      <c r="H39" s="121"/>
      <c r="I39" s="122"/>
    </row>
    <row r="40" spans="2:9" x14ac:dyDescent="0.15">
      <c r="B40" s="120"/>
      <c r="C40" s="121"/>
      <c r="D40" s="121"/>
      <c r="E40" s="121"/>
      <c r="F40" s="121"/>
      <c r="G40" s="121"/>
      <c r="H40" s="121"/>
      <c r="I40" s="122"/>
    </row>
    <row r="41" spans="2:9" x14ac:dyDescent="0.15">
      <c r="B41" s="120"/>
      <c r="C41" s="121"/>
      <c r="D41" s="121"/>
      <c r="E41" s="121"/>
      <c r="F41" s="121"/>
      <c r="G41" s="121"/>
      <c r="H41" s="121"/>
      <c r="I41" s="122"/>
    </row>
    <row r="42" spans="2:9" x14ac:dyDescent="0.15">
      <c r="B42" s="120"/>
      <c r="C42" s="121"/>
      <c r="D42" s="121"/>
      <c r="E42" s="121"/>
      <c r="F42" s="121"/>
      <c r="G42" s="121"/>
      <c r="H42" s="121"/>
      <c r="I42" s="122"/>
    </row>
    <row r="43" spans="2:9" ht="23" x14ac:dyDescent="0.25">
      <c r="B43" s="415" t="s">
        <v>351</v>
      </c>
      <c r="C43" s="416"/>
      <c r="D43" s="416"/>
      <c r="E43" s="416"/>
      <c r="F43" s="416"/>
      <c r="G43" s="416"/>
      <c r="H43" s="416"/>
      <c r="I43" s="417"/>
    </row>
    <row r="59" spans="2:5" hidden="1" x14ac:dyDescent="0.15">
      <c r="B59" s="33">
        <f>IF(E9&gt;=4000000,4000000,E9)</f>
        <v>1000000</v>
      </c>
    </row>
    <row r="63" spans="2:5" hidden="1" x14ac:dyDescent="0.15">
      <c r="E63" s="33">
        <f>IF(E7&gt;=20,130,IF(E7&gt;=15,81,"Fail"))+50</f>
        <v>180</v>
      </c>
    </row>
  </sheetData>
  <sheetProtection password="D3C7" sheet="1" objects="1" scenarios="1"/>
  <mergeCells count="4">
    <mergeCell ref="B43:I43"/>
    <mergeCell ref="B2:I2"/>
    <mergeCell ref="B3:I3"/>
    <mergeCell ref="C6:F6"/>
  </mergeCells>
  <phoneticPr fontId="0" type="noConversion"/>
  <pageMargins left="0.32" right="0.24" top="0.49" bottom="0.5" header="0.35" footer="0.37"/>
  <pageSetup scale="90" orientation="portrait" blackAndWhite="1" horizontalDpi="360"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78"/>
  <sheetViews>
    <sheetView topLeftCell="A51" workbookViewId="0"/>
  </sheetViews>
  <sheetFormatPr baseColWidth="10" defaultColWidth="8.83203125" defaultRowHeight="13" x14ac:dyDescent="0.15"/>
  <cols>
    <col min="1" max="1" width="8.83203125" style="33"/>
    <col min="2" max="2" width="3.83203125" style="33" customWidth="1"/>
    <col min="3" max="3" width="8.6640625" style="33" customWidth="1"/>
    <col min="4" max="4" width="18" style="33" customWidth="1"/>
    <col min="5" max="5" width="23" style="33" customWidth="1"/>
    <col min="6" max="6" width="11.6640625" style="33" hidden="1" customWidth="1"/>
    <col min="7" max="7" width="14.5" style="33" customWidth="1"/>
    <col min="8" max="8" width="13.33203125" style="33" customWidth="1"/>
    <col min="9" max="11" width="10.6640625" style="33" hidden="1" customWidth="1"/>
    <col min="12" max="12" width="15.33203125" style="33" customWidth="1"/>
    <col min="13" max="13" width="20.5" style="33" customWidth="1"/>
    <col min="14" max="14" width="20.5" style="33" hidden="1" customWidth="1"/>
    <col min="15" max="16" width="23.5" style="33" hidden="1" customWidth="1"/>
    <col min="17" max="17" width="21.33203125" style="33" customWidth="1"/>
    <col min="18" max="19" width="23" style="33" hidden="1" customWidth="1"/>
    <col min="20" max="20" width="22.83203125" style="33" customWidth="1"/>
    <col min="21" max="21" width="4.83203125" style="33" customWidth="1"/>
    <col min="22" max="23" width="8.83203125" style="33"/>
    <col min="24" max="24" width="9.1640625" style="33" hidden="1" customWidth="1"/>
    <col min="25" max="25" width="10.6640625" style="33" hidden="1" customWidth="1"/>
    <col min="26" max="27" width="9.1640625" style="33" hidden="1" customWidth="1"/>
    <col min="28" max="16384" width="8.83203125" style="33"/>
  </cols>
  <sheetData>
    <row r="1" spans="2:27" ht="14" thickBot="1" x14ac:dyDescent="0.2"/>
    <row r="2" spans="2:27" ht="14" thickBot="1" x14ac:dyDescent="0.2">
      <c r="B2" s="249"/>
      <c r="C2" s="306"/>
      <c r="D2" s="306"/>
      <c r="E2" s="306"/>
      <c r="F2" s="306"/>
      <c r="G2" s="306"/>
      <c r="H2" s="306"/>
      <c r="I2" s="306"/>
      <c r="J2" s="306"/>
      <c r="K2" s="306"/>
      <c r="L2" s="306"/>
      <c r="M2" s="306"/>
      <c r="N2" s="306"/>
      <c r="O2" s="306"/>
      <c r="P2" s="306"/>
      <c r="Q2" s="306"/>
      <c r="R2" s="306"/>
      <c r="S2" s="306"/>
      <c r="T2" s="306"/>
      <c r="U2" s="250"/>
    </row>
    <row r="3" spans="2:27" ht="23" x14ac:dyDescent="0.25">
      <c r="B3" s="251"/>
      <c r="C3" s="427"/>
      <c r="D3" s="428"/>
      <c r="E3" s="428"/>
      <c r="F3" s="428"/>
      <c r="G3" s="428"/>
      <c r="H3" s="428"/>
      <c r="I3" s="428"/>
      <c r="J3" s="428"/>
      <c r="K3" s="428"/>
      <c r="L3" s="428"/>
      <c r="M3" s="428"/>
      <c r="N3" s="428"/>
      <c r="O3" s="428"/>
      <c r="P3" s="428"/>
      <c r="Q3" s="428"/>
      <c r="R3" s="428"/>
      <c r="S3" s="428"/>
      <c r="T3" s="429"/>
      <c r="U3" s="252"/>
      <c r="X3" s="187">
        <f>IF(E10&gt;=8000000,8000000,E10)</f>
        <v>1000000</v>
      </c>
      <c r="Y3" s="195" t="s">
        <v>371</v>
      </c>
      <c r="Z3" s="194">
        <f>APCS!F10</f>
        <v>23</v>
      </c>
      <c r="AA3" s="188"/>
    </row>
    <row r="4" spans="2:27" ht="24" thickBot="1" x14ac:dyDescent="0.3">
      <c r="B4" s="251"/>
      <c r="C4" s="430"/>
      <c r="D4" s="431"/>
      <c r="E4" s="431"/>
      <c r="F4" s="431"/>
      <c r="G4" s="431"/>
      <c r="H4" s="431"/>
      <c r="I4" s="431"/>
      <c r="J4" s="431"/>
      <c r="K4" s="431"/>
      <c r="L4" s="431"/>
      <c r="M4" s="431"/>
      <c r="N4" s="431"/>
      <c r="O4" s="431"/>
      <c r="P4" s="431"/>
      <c r="Q4" s="431"/>
      <c r="R4" s="431"/>
      <c r="S4" s="431"/>
      <c r="T4" s="432"/>
      <c r="U4" s="252"/>
      <c r="X4" s="189"/>
      <c r="AA4" s="190"/>
    </row>
    <row r="5" spans="2:27" x14ac:dyDescent="0.15">
      <c r="B5" s="251"/>
      <c r="C5" s="286"/>
      <c r="D5" s="286"/>
      <c r="E5" s="286"/>
      <c r="F5" s="286"/>
      <c r="G5" s="286"/>
      <c r="H5" s="286"/>
      <c r="I5" s="286"/>
      <c r="J5" s="286"/>
      <c r="K5" s="286"/>
      <c r="L5" s="286"/>
      <c r="M5" s="286"/>
      <c r="N5" s="286"/>
      <c r="O5" s="286"/>
      <c r="P5" s="286"/>
      <c r="Q5" s="286"/>
      <c r="R5" s="286"/>
      <c r="S5" s="286"/>
      <c r="T5" s="286"/>
      <c r="U5" s="252"/>
      <c r="X5" s="189">
        <f>E10*APCS!D10/100</f>
        <v>120000</v>
      </c>
      <c r="Y5" s="33">
        <f>IF(E9="fib",X5,0)</f>
        <v>0</v>
      </c>
      <c r="AA5" s="190"/>
    </row>
    <row r="6" spans="2:27" ht="15" customHeight="1" x14ac:dyDescent="0.15">
      <c r="B6" s="251"/>
      <c r="C6" s="291"/>
      <c r="D6" s="287"/>
      <c r="E6" s="287"/>
      <c r="F6" s="287"/>
      <c r="G6" s="287"/>
      <c r="H6" s="287"/>
      <c r="I6" s="287"/>
      <c r="J6" s="287"/>
      <c r="K6" s="287"/>
      <c r="L6" s="287"/>
      <c r="M6" s="287"/>
      <c r="N6" s="287"/>
      <c r="O6" s="287"/>
      <c r="P6" s="287"/>
      <c r="Q6" s="287"/>
      <c r="R6" s="287"/>
      <c r="S6" s="287"/>
      <c r="T6" s="287"/>
      <c r="U6" s="252"/>
      <c r="X6" s="189"/>
      <c r="AA6" s="190"/>
    </row>
    <row r="7" spans="2:27" ht="20" customHeight="1" x14ac:dyDescent="0.2">
      <c r="B7" s="251"/>
      <c r="C7" s="243" t="s">
        <v>347</v>
      </c>
      <c r="D7" s="436" t="str">
        <f>APCS!B232</f>
        <v>Endowment Assurance</v>
      </c>
      <c r="E7" s="436"/>
      <c r="F7" s="436"/>
      <c r="G7" s="436"/>
      <c r="H7" s="295"/>
      <c r="I7" s="296"/>
      <c r="J7" s="296"/>
      <c r="K7" s="296"/>
      <c r="L7" s="243" t="s">
        <v>361</v>
      </c>
      <c r="M7" s="297"/>
      <c r="N7" s="297"/>
      <c r="O7" s="297"/>
      <c r="P7" s="297"/>
      <c r="Q7" s="297"/>
      <c r="R7" s="297"/>
      <c r="S7" s="297"/>
      <c r="T7" s="295">
        <f>APCS!E19</f>
        <v>3269000</v>
      </c>
      <c r="U7" s="252"/>
      <c r="X7" s="191"/>
      <c r="Y7" s="192"/>
      <c r="Z7" s="192"/>
      <c r="AA7" s="193">
        <f>IF(D8&gt;=20,130,IF(D8&gt;=15,81,"Fail"))+60</f>
        <v>190</v>
      </c>
    </row>
    <row r="8" spans="2:27" ht="20" customHeight="1" x14ac:dyDescent="0.2">
      <c r="B8" s="251"/>
      <c r="C8" s="244" t="s">
        <v>348</v>
      </c>
      <c r="D8" s="288">
        <f>APCS!G8</f>
        <v>20</v>
      </c>
      <c r="E8" s="256"/>
      <c r="F8" s="256"/>
      <c r="G8" s="256"/>
      <c r="H8" s="287"/>
      <c r="I8" s="287"/>
      <c r="J8" s="287"/>
      <c r="K8" s="287"/>
      <c r="L8" s="289"/>
      <c r="M8" s="287"/>
      <c r="N8" s="287"/>
      <c r="O8" s="287"/>
      <c r="P8" s="287"/>
      <c r="Q8" s="287"/>
      <c r="R8" s="290"/>
      <c r="S8" s="290"/>
      <c r="T8" s="290"/>
      <c r="U8" s="252"/>
    </row>
    <row r="9" spans="2:27" ht="20" customHeight="1" x14ac:dyDescent="0.2">
      <c r="B9" s="251"/>
      <c r="C9" s="243" t="s">
        <v>350</v>
      </c>
      <c r="D9" s="298" t="str">
        <f>IF(APCS!G13="Y","AIB",IF(APCS!G14="Y","ADB",""))</f>
        <v>ADB</v>
      </c>
      <c r="E9" s="298" t="str">
        <f>IF(APCS!G10="Y","FIB","")</f>
        <v/>
      </c>
      <c r="F9" s="299"/>
      <c r="G9" s="299"/>
      <c r="H9" s="297"/>
      <c r="I9" s="297"/>
      <c r="J9" s="297"/>
      <c r="K9" s="297"/>
      <c r="L9" s="243" t="s">
        <v>363</v>
      </c>
      <c r="M9" s="297"/>
      <c r="N9" s="297"/>
      <c r="O9" s="297"/>
      <c r="P9" s="297"/>
      <c r="Q9" s="297"/>
      <c r="R9" s="297"/>
      <c r="S9" s="297"/>
      <c r="T9" s="305">
        <f>SUM(E15:E59)</f>
        <v>975600</v>
      </c>
      <c r="U9" s="252"/>
    </row>
    <row r="10" spans="2:27" ht="20" customHeight="1" thickBot="1" x14ac:dyDescent="0.25">
      <c r="B10" s="251"/>
      <c r="C10" s="244" t="s">
        <v>354</v>
      </c>
      <c r="D10" s="291"/>
      <c r="E10" s="433">
        <f>APCS!G4</f>
        <v>1000000</v>
      </c>
      <c r="F10" s="433"/>
      <c r="G10" s="288"/>
      <c r="H10" s="291"/>
      <c r="I10" s="291"/>
      <c r="J10" s="291"/>
      <c r="K10" s="291"/>
      <c r="L10" s="291"/>
      <c r="M10" s="291"/>
      <c r="N10" s="291"/>
      <c r="O10" s="291"/>
      <c r="P10" s="291"/>
      <c r="Q10" s="291"/>
      <c r="R10" s="291"/>
      <c r="S10" s="291"/>
      <c r="T10" s="291"/>
      <c r="U10" s="252"/>
    </row>
    <row r="11" spans="2:27" ht="20" customHeight="1" thickBot="1" x14ac:dyDescent="0.25">
      <c r="B11" s="251"/>
      <c r="C11" s="243" t="s">
        <v>355</v>
      </c>
      <c r="D11" s="296"/>
      <c r="E11" s="434">
        <f>APCS!J5</f>
        <v>48780</v>
      </c>
      <c r="F11" s="434"/>
      <c r="G11" s="300"/>
      <c r="H11" s="297"/>
      <c r="I11" s="297"/>
      <c r="J11" s="297"/>
      <c r="K11" s="297"/>
      <c r="L11" s="243" t="s">
        <v>362</v>
      </c>
      <c r="M11" s="297"/>
      <c r="N11" s="297"/>
      <c r="O11" s="297"/>
      <c r="P11" s="297"/>
      <c r="Q11" s="297"/>
      <c r="R11" s="297"/>
      <c r="S11" s="297"/>
      <c r="T11" s="322">
        <v>2018</v>
      </c>
      <c r="U11" s="252"/>
    </row>
    <row r="12" spans="2:27" x14ac:dyDescent="0.15">
      <c r="B12" s="251"/>
      <c r="C12" s="291"/>
      <c r="D12" s="291"/>
      <c r="E12" s="291"/>
      <c r="F12" s="291"/>
      <c r="G12" s="291"/>
      <c r="H12" s="291"/>
      <c r="I12" s="291"/>
      <c r="J12" s="291"/>
      <c r="K12" s="291"/>
      <c r="L12" s="291"/>
      <c r="M12" s="291"/>
      <c r="N12" s="291"/>
      <c r="O12" s="291"/>
      <c r="P12" s="291"/>
      <c r="Q12" s="291"/>
      <c r="R12" s="291"/>
      <c r="S12" s="291"/>
      <c r="T12" s="291"/>
      <c r="U12" s="252"/>
    </row>
    <row r="13" spans="2:27" ht="18" x14ac:dyDescent="0.2">
      <c r="B13" s="251"/>
      <c r="C13" s="307" t="s">
        <v>336</v>
      </c>
      <c r="D13" s="307" t="s">
        <v>299</v>
      </c>
      <c r="E13" s="307" t="s">
        <v>337</v>
      </c>
      <c r="F13" s="308"/>
      <c r="G13" s="309" t="s">
        <v>338</v>
      </c>
      <c r="H13" s="307" t="s">
        <v>339</v>
      </c>
      <c r="I13" s="308"/>
      <c r="J13" s="308"/>
      <c r="K13" s="308"/>
      <c r="L13" s="309" t="s">
        <v>341</v>
      </c>
      <c r="M13" s="307" t="s">
        <v>342</v>
      </c>
      <c r="N13" s="308"/>
      <c r="O13" s="308"/>
      <c r="P13" s="308"/>
      <c r="Q13" s="309" t="s">
        <v>421</v>
      </c>
      <c r="R13" s="308"/>
      <c r="S13" s="308"/>
      <c r="T13" s="309" t="s">
        <v>344</v>
      </c>
      <c r="U13" s="252"/>
    </row>
    <row r="14" spans="2:27" ht="16" x14ac:dyDescent="0.2">
      <c r="B14" s="251"/>
      <c r="C14" s="301"/>
      <c r="D14" s="301"/>
      <c r="E14" s="301" t="s">
        <v>346</v>
      </c>
      <c r="F14" s="310"/>
      <c r="G14" s="311" t="s">
        <v>251</v>
      </c>
      <c r="H14" s="301" t="s">
        <v>340</v>
      </c>
      <c r="I14" s="310"/>
      <c r="J14" s="310"/>
      <c r="K14" s="310"/>
      <c r="L14" s="311" t="s">
        <v>338</v>
      </c>
      <c r="M14" s="301" t="s">
        <v>343</v>
      </c>
      <c r="N14" s="310"/>
      <c r="O14" s="310"/>
      <c r="P14" s="310"/>
      <c r="Q14" s="311" t="s">
        <v>356</v>
      </c>
      <c r="R14" s="310"/>
      <c r="S14" s="310"/>
      <c r="T14" s="311" t="s">
        <v>345</v>
      </c>
      <c r="U14" s="252"/>
    </row>
    <row r="15" spans="2:27" ht="25" customHeight="1" x14ac:dyDescent="0.15">
      <c r="B15" s="251"/>
      <c r="C15" s="292">
        <v>1</v>
      </c>
      <c r="D15" s="292">
        <f>T11</f>
        <v>2018</v>
      </c>
      <c r="E15" s="293">
        <f>E11</f>
        <v>48780</v>
      </c>
      <c r="F15" s="292">
        <f>IF(D8&gt;=20,45,IF(D8&gt;=15,31,IF(D8&gt;=10,18,"Fail")))</f>
        <v>45</v>
      </c>
      <c r="G15" s="292">
        <f t="shared" ref="G15:G24" si="0">F15</f>
        <v>45</v>
      </c>
      <c r="H15" s="294">
        <f>G15*E10/1000</f>
        <v>45000</v>
      </c>
      <c r="I15" s="294">
        <f>IF(D8&gt;=20,45,IF(D8&gt;=15,31,IF(D8&gt;=10,18,"Fail")))</f>
        <v>45</v>
      </c>
      <c r="J15" s="294">
        <f t="shared" ref="J15:J59" si="1">I15</f>
        <v>45</v>
      </c>
      <c r="K15" s="294">
        <f>J15*E10/1000</f>
        <v>45000</v>
      </c>
      <c r="L15" s="294">
        <f>H15+E10</f>
        <v>1045000</v>
      </c>
      <c r="M15" s="294">
        <f>E10+K15</f>
        <v>1045000</v>
      </c>
      <c r="N15" s="294">
        <f>Z3-C15</f>
        <v>22</v>
      </c>
      <c r="O15" s="294" t="e">
        <f>N15*H62</f>
        <v>#VALUE!</v>
      </c>
      <c r="P15" s="294" t="str">
        <f>IF(E9="FIB",O15,"")</f>
        <v/>
      </c>
      <c r="Q15" s="294" t="str">
        <f>IF(C15&lt;=45,P15,"")</f>
        <v/>
      </c>
      <c r="R15" s="294">
        <f>IF(OR(D9="adb",D9="aib"),M15+X3,M15)</f>
        <v>2045000</v>
      </c>
      <c r="S15" s="294">
        <f t="shared" ref="S15:S24" si="2">R15</f>
        <v>2045000</v>
      </c>
      <c r="T15" s="294">
        <f>IF(OR(D9="ADB",D9="AIB"),S15,"")</f>
        <v>2045000</v>
      </c>
      <c r="U15" s="252"/>
    </row>
    <row r="16" spans="2:27" ht="25" customHeight="1" x14ac:dyDescent="0.15">
      <c r="B16" s="251"/>
      <c r="C16" s="302">
        <v>2</v>
      </c>
      <c r="D16" s="302">
        <f t="shared" ref="D16:D24" si="3">D15+1</f>
        <v>2019</v>
      </c>
      <c r="E16" s="303">
        <f t="shared" ref="E16:F19" si="4">E15</f>
        <v>48780</v>
      </c>
      <c r="F16" s="302">
        <f t="shared" si="4"/>
        <v>45</v>
      </c>
      <c r="G16" s="302">
        <f t="shared" si="0"/>
        <v>45</v>
      </c>
      <c r="H16" s="304">
        <f>G16*E10/1000</f>
        <v>45000</v>
      </c>
      <c r="I16" s="304">
        <f>I15</f>
        <v>45</v>
      </c>
      <c r="J16" s="304">
        <f t="shared" si="1"/>
        <v>45</v>
      </c>
      <c r="K16" s="304">
        <f>J16*E10/1000</f>
        <v>45000</v>
      </c>
      <c r="L16" s="304">
        <f t="shared" ref="L16:L24" si="5">H16+L15</f>
        <v>1090000</v>
      </c>
      <c r="M16" s="304">
        <f t="shared" ref="M16:M24" si="6">M15+K16</f>
        <v>1090000</v>
      </c>
      <c r="N16" s="304">
        <f>Z3-C16</f>
        <v>21</v>
      </c>
      <c r="O16" s="304" t="e">
        <f>N16*H62</f>
        <v>#VALUE!</v>
      </c>
      <c r="P16" s="304" t="str">
        <f>IF(E9="FIB",O16,"")</f>
        <v/>
      </c>
      <c r="Q16" s="304" t="str">
        <f t="shared" ref="Q16:Q59" si="7">IF(C16&lt;=45,P16,"")</f>
        <v/>
      </c>
      <c r="R16" s="304">
        <f>IF(OR(D9="adb",D9="aib"),M16+X3,M16)</f>
        <v>2090000</v>
      </c>
      <c r="S16" s="304">
        <f t="shared" si="2"/>
        <v>2090000</v>
      </c>
      <c r="T16" s="304">
        <f>IF(OR(D9="ADB",D9="AIB"),S16,"")</f>
        <v>2090000</v>
      </c>
      <c r="U16" s="252"/>
    </row>
    <row r="17" spans="2:21" ht="25" customHeight="1" x14ac:dyDescent="0.15">
      <c r="B17" s="251"/>
      <c r="C17" s="292">
        <v>3</v>
      </c>
      <c r="D17" s="292">
        <f t="shared" si="3"/>
        <v>2020</v>
      </c>
      <c r="E17" s="293">
        <f t="shared" si="4"/>
        <v>48780</v>
      </c>
      <c r="F17" s="292">
        <f t="shared" si="4"/>
        <v>45</v>
      </c>
      <c r="G17" s="292">
        <f t="shared" si="0"/>
        <v>45</v>
      </c>
      <c r="H17" s="294">
        <f>G17*E10/1000</f>
        <v>45000</v>
      </c>
      <c r="I17" s="294">
        <f>I16</f>
        <v>45</v>
      </c>
      <c r="J17" s="294">
        <f t="shared" si="1"/>
        <v>45</v>
      </c>
      <c r="K17" s="294">
        <f>J17*E10/1000</f>
        <v>45000</v>
      </c>
      <c r="L17" s="294">
        <f t="shared" si="5"/>
        <v>1135000</v>
      </c>
      <c r="M17" s="294">
        <f t="shared" si="6"/>
        <v>1135000</v>
      </c>
      <c r="N17" s="294">
        <f>Z3-C17</f>
        <v>20</v>
      </c>
      <c r="O17" s="294" t="e">
        <f>N17*H62</f>
        <v>#VALUE!</v>
      </c>
      <c r="P17" s="294" t="str">
        <f>IF(E9="FIB",O17,"")</f>
        <v/>
      </c>
      <c r="Q17" s="294" t="str">
        <f t="shared" si="7"/>
        <v/>
      </c>
      <c r="R17" s="294">
        <f>IF(OR(D9="adb",D9="aib"),M17+X3,M17)</f>
        <v>2135000</v>
      </c>
      <c r="S17" s="294">
        <f t="shared" si="2"/>
        <v>2135000</v>
      </c>
      <c r="T17" s="294">
        <f>IF(OR(D9="ADB",D9="AIB"),S17,"")</f>
        <v>2135000</v>
      </c>
      <c r="U17" s="252"/>
    </row>
    <row r="18" spans="2:21" ht="25" customHeight="1" x14ac:dyDescent="0.15">
      <c r="B18" s="251"/>
      <c r="C18" s="302">
        <v>4</v>
      </c>
      <c r="D18" s="302">
        <f t="shared" si="3"/>
        <v>2021</v>
      </c>
      <c r="E18" s="303">
        <f t="shared" si="4"/>
        <v>48780</v>
      </c>
      <c r="F18" s="302">
        <f t="shared" si="4"/>
        <v>45</v>
      </c>
      <c r="G18" s="302">
        <f t="shared" si="0"/>
        <v>45</v>
      </c>
      <c r="H18" s="304">
        <f>G18*E10/1000</f>
        <v>45000</v>
      </c>
      <c r="I18" s="304">
        <f>I17</f>
        <v>45</v>
      </c>
      <c r="J18" s="304">
        <f t="shared" si="1"/>
        <v>45</v>
      </c>
      <c r="K18" s="304">
        <f>J18*E10/1000</f>
        <v>45000</v>
      </c>
      <c r="L18" s="304">
        <f t="shared" si="5"/>
        <v>1180000</v>
      </c>
      <c r="M18" s="304">
        <f t="shared" si="6"/>
        <v>1180000</v>
      </c>
      <c r="N18" s="304">
        <f>Z3-C18</f>
        <v>19</v>
      </c>
      <c r="O18" s="304" t="e">
        <f>N18*H62</f>
        <v>#VALUE!</v>
      </c>
      <c r="P18" s="304" t="str">
        <f>IF(E9="FIB",O18,"")</f>
        <v/>
      </c>
      <c r="Q18" s="304" t="str">
        <f t="shared" si="7"/>
        <v/>
      </c>
      <c r="R18" s="304">
        <f>IF(OR(D9="adb",D9="aib"),M18+X3,M18)</f>
        <v>2180000</v>
      </c>
      <c r="S18" s="304">
        <f t="shared" si="2"/>
        <v>2180000</v>
      </c>
      <c r="T18" s="304">
        <f>IF(OR(D9="ADB",D9="AIB"),S18,"")</f>
        <v>2180000</v>
      </c>
      <c r="U18" s="252"/>
    </row>
    <row r="19" spans="2:21" ht="25" customHeight="1" x14ac:dyDescent="0.15">
      <c r="B19" s="251"/>
      <c r="C19" s="292">
        <v>5</v>
      </c>
      <c r="D19" s="292">
        <f t="shared" si="3"/>
        <v>2022</v>
      </c>
      <c r="E19" s="293">
        <f t="shared" si="4"/>
        <v>48780</v>
      </c>
      <c r="F19" s="292">
        <f t="shared" si="4"/>
        <v>45</v>
      </c>
      <c r="G19" s="292">
        <f t="shared" si="0"/>
        <v>45</v>
      </c>
      <c r="H19" s="294">
        <f>G19*E10/1000</f>
        <v>45000</v>
      </c>
      <c r="I19" s="294">
        <f>I18</f>
        <v>45</v>
      </c>
      <c r="J19" s="294">
        <f t="shared" si="1"/>
        <v>45</v>
      </c>
      <c r="K19" s="294">
        <f>J19*E10/1000</f>
        <v>45000</v>
      </c>
      <c r="L19" s="294">
        <f t="shared" si="5"/>
        <v>1225000</v>
      </c>
      <c r="M19" s="294">
        <f t="shared" si="6"/>
        <v>1225000</v>
      </c>
      <c r="N19" s="294">
        <f>Z3-C19</f>
        <v>18</v>
      </c>
      <c r="O19" s="294" t="e">
        <f>N19*H62</f>
        <v>#VALUE!</v>
      </c>
      <c r="P19" s="294" t="str">
        <f>IF(E9="FIB",O19,"")</f>
        <v/>
      </c>
      <c r="Q19" s="294" t="str">
        <f t="shared" si="7"/>
        <v/>
      </c>
      <c r="R19" s="294">
        <f>IF(OR(D9="adb",D9="aib"),M19+X3,M19)</f>
        <v>2225000</v>
      </c>
      <c r="S19" s="294">
        <f t="shared" si="2"/>
        <v>2225000</v>
      </c>
      <c r="T19" s="294">
        <f>IF(OR(D9="ADB",D9="AIB"),S19,"")</f>
        <v>2225000</v>
      </c>
      <c r="U19" s="252"/>
    </row>
    <row r="20" spans="2:21" ht="25" customHeight="1" x14ac:dyDescent="0.15">
      <c r="B20" s="251"/>
      <c r="C20" s="302">
        <v>6</v>
      </c>
      <c r="D20" s="302">
        <f t="shared" si="3"/>
        <v>2023</v>
      </c>
      <c r="E20" s="303">
        <f t="shared" ref="E20:E23" si="8">E19</f>
        <v>48780</v>
      </c>
      <c r="F20" s="302">
        <f>IF(D8&gt;=20,84,IF(D8&gt;=15,72,IF(D8&gt;=10,59,"Fail")))</f>
        <v>84</v>
      </c>
      <c r="G20" s="302">
        <f t="shared" si="0"/>
        <v>84</v>
      </c>
      <c r="H20" s="304">
        <f>G20*E10/1000</f>
        <v>84000</v>
      </c>
      <c r="I20" s="304">
        <f>IF(D8&gt;=20,84,IF(D8&gt;=15,72,IF(D8&gt;=10,59,"Fail")))</f>
        <v>84</v>
      </c>
      <c r="J20" s="304">
        <f t="shared" si="1"/>
        <v>84</v>
      </c>
      <c r="K20" s="304">
        <f>J20*E10/1000</f>
        <v>84000</v>
      </c>
      <c r="L20" s="304">
        <f t="shared" si="5"/>
        <v>1309000</v>
      </c>
      <c r="M20" s="304">
        <f t="shared" si="6"/>
        <v>1309000</v>
      </c>
      <c r="N20" s="304">
        <f>Z3-C20</f>
        <v>17</v>
      </c>
      <c r="O20" s="304" t="e">
        <f>N20*H62</f>
        <v>#VALUE!</v>
      </c>
      <c r="P20" s="304" t="str">
        <f>IF(E9="FIB",O20,"")</f>
        <v/>
      </c>
      <c r="Q20" s="304" t="str">
        <f t="shared" si="7"/>
        <v/>
      </c>
      <c r="R20" s="304">
        <f>IF(OR(D9="adb",D9="aib"),M20+X3,M20)</f>
        <v>2309000</v>
      </c>
      <c r="S20" s="304">
        <f t="shared" si="2"/>
        <v>2309000</v>
      </c>
      <c r="T20" s="304">
        <f>IF(OR(D9="ADB",D9="AIB"),S20,"")</f>
        <v>2309000</v>
      </c>
      <c r="U20" s="252"/>
    </row>
    <row r="21" spans="2:21" ht="25" customHeight="1" x14ac:dyDescent="0.15">
      <c r="B21" s="251"/>
      <c r="C21" s="292">
        <v>7</v>
      </c>
      <c r="D21" s="292">
        <f t="shared" si="3"/>
        <v>2024</v>
      </c>
      <c r="E21" s="293">
        <f t="shared" si="8"/>
        <v>48780</v>
      </c>
      <c r="F21" s="292">
        <f>F20</f>
        <v>84</v>
      </c>
      <c r="G21" s="292">
        <f t="shared" si="0"/>
        <v>84</v>
      </c>
      <c r="H21" s="294">
        <f>G21*E10/1000</f>
        <v>84000</v>
      </c>
      <c r="I21" s="294">
        <f>I20</f>
        <v>84</v>
      </c>
      <c r="J21" s="294">
        <f t="shared" si="1"/>
        <v>84</v>
      </c>
      <c r="K21" s="294">
        <f>J21*E10/1000</f>
        <v>84000</v>
      </c>
      <c r="L21" s="294">
        <f t="shared" si="5"/>
        <v>1393000</v>
      </c>
      <c r="M21" s="294">
        <f t="shared" si="6"/>
        <v>1393000</v>
      </c>
      <c r="N21" s="294">
        <f>Z3-C21</f>
        <v>16</v>
      </c>
      <c r="O21" s="294" t="e">
        <f>N21*H62</f>
        <v>#VALUE!</v>
      </c>
      <c r="P21" s="294" t="str">
        <f>IF(E9="FIB",O21,"")</f>
        <v/>
      </c>
      <c r="Q21" s="294" t="str">
        <f t="shared" si="7"/>
        <v/>
      </c>
      <c r="R21" s="294">
        <f>IF(OR(D9="adb",D9="aib"),M21+X3,M21)</f>
        <v>2393000</v>
      </c>
      <c r="S21" s="294">
        <f t="shared" si="2"/>
        <v>2393000</v>
      </c>
      <c r="T21" s="294">
        <f>IF(OR(D9="ADB",D9="AIB"),S21,"")</f>
        <v>2393000</v>
      </c>
      <c r="U21" s="252"/>
    </row>
    <row r="22" spans="2:21" ht="25" customHeight="1" x14ac:dyDescent="0.15">
      <c r="B22" s="251"/>
      <c r="C22" s="302">
        <v>8</v>
      </c>
      <c r="D22" s="302">
        <f t="shared" si="3"/>
        <v>2025</v>
      </c>
      <c r="E22" s="303">
        <f t="shared" si="8"/>
        <v>48780</v>
      </c>
      <c r="F22" s="302">
        <f>F21</f>
        <v>84</v>
      </c>
      <c r="G22" s="302">
        <f t="shared" si="0"/>
        <v>84</v>
      </c>
      <c r="H22" s="304">
        <f>G22*E10/1000</f>
        <v>84000</v>
      </c>
      <c r="I22" s="304">
        <f t="shared" ref="I22:I30" si="9">I21</f>
        <v>84</v>
      </c>
      <c r="J22" s="304">
        <f t="shared" si="1"/>
        <v>84</v>
      </c>
      <c r="K22" s="304">
        <f>J22*E10/1000</f>
        <v>84000</v>
      </c>
      <c r="L22" s="304">
        <f t="shared" si="5"/>
        <v>1477000</v>
      </c>
      <c r="M22" s="304">
        <f t="shared" si="6"/>
        <v>1477000</v>
      </c>
      <c r="N22" s="304">
        <f>Z3-C22</f>
        <v>15</v>
      </c>
      <c r="O22" s="304" t="e">
        <f>N22*H62</f>
        <v>#VALUE!</v>
      </c>
      <c r="P22" s="304" t="str">
        <f>IF(E9="FIB",O22,"")</f>
        <v/>
      </c>
      <c r="Q22" s="304" t="str">
        <f t="shared" si="7"/>
        <v/>
      </c>
      <c r="R22" s="304">
        <f>IF(OR(D9="adb",D9="aib"),M22+X3,M22)</f>
        <v>2477000</v>
      </c>
      <c r="S22" s="304">
        <f t="shared" si="2"/>
        <v>2477000</v>
      </c>
      <c r="T22" s="304">
        <f>IF(OR(D9="ADB",D9="AIB"),S22,"")</f>
        <v>2477000</v>
      </c>
      <c r="U22" s="252"/>
    </row>
    <row r="23" spans="2:21" ht="25" customHeight="1" x14ac:dyDescent="0.15">
      <c r="B23" s="251"/>
      <c r="C23" s="292">
        <v>9</v>
      </c>
      <c r="D23" s="292">
        <f t="shared" si="3"/>
        <v>2026</v>
      </c>
      <c r="E23" s="293">
        <f t="shared" si="8"/>
        <v>48780</v>
      </c>
      <c r="F23" s="292">
        <f>F22</f>
        <v>84</v>
      </c>
      <c r="G23" s="292">
        <f t="shared" si="0"/>
        <v>84</v>
      </c>
      <c r="H23" s="294">
        <f>G23*E10/1000</f>
        <v>84000</v>
      </c>
      <c r="I23" s="294">
        <f t="shared" si="9"/>
        <v>84</v>
      </c>
      <c r="J23" s="294">
        <f t="shared" si="1"/>
        <v>84</v>
      </c>
      <c r="K23" s="294">
        <f>J23*E10/1000</f>
        <v>84000</v>
      </c>
      <c r="L23" s="294">
        <f t="shared" si="5"/>
        <v>1561000</v>
      </c>
      <c r="M23" s="294">
        <f t="shared" si="6"/>
        <v>1561000</v>
      </c>
      <c r="N23" s="294">
        <f>Z3-C23</f>
        <v>14</v>
      </c>
      <c r="O23" s="294" t="e">
        <f>N23*H62</f>
        <v>#VALUE!</v>
      </c>
      <c r="P23" s="294" t="str">
        <f>IF(E9="FIB",O23,"")</f>
        <v/>
      </c>
      <c r="Q23" s="294" t="str">
        <f t="shared" si="7"/>
        <v/>
      </c>
      <c r="R23" s="294">
        <f>IF(OR(D9="adb",D9="aib"),M23+X3,M23)</f>
        <v>2561000</v>
      </c>
      <c r="S23" s="294">
        <f t="shared" si="2"/>
        <v>2561000</v>
      </c>
      <c r="T23" s="294">
        <f>IF(OR(D9="ADB",D9="AIB"),S23,"")</f>
        <v>2561000</v>
      </c>
      <c r="U23" s="252"/>
    </row>
    <row r="24" spans="2:21" ht="25" customHeight="1" x14ac:dyDescent="0.15">
      <c r="B24" s="251"/>
      <c r="C24" s="302">
        <v>10</v>
      </c>
      <c r="D24" s="302">
        <f t="shared" si="3"/>
        <v>2027</v>
      </c>
      <c r="E24" s="303">
        <f>E23</f>
        <v>48780</v>
      </c>
      <c r="F24" s="302">
        <f>F23</f>
        <v>84</v>
      </c>
      <c r="G24" s="302">
        <f t="shared" si="0"/>
        <v>84</v>
      </c>
      <c r="H24" s="304">
        <f>G24*E10/1000</f>
        <v>84000</v>
      </c>
      <c r="I24" s="304">
        <f t="shared" si="9"/>
        <v>84</v>
      </c>
      <c r="J24" s="304">
        <f t="shared" si="1"/>
        <v>84</v>
      </c>
      <c r="K24" s="304">
        <f>J24*E10/1000</f>
        <v>84000</v>
      </c>
      <c r="L24" s="304">
        <f t="shared" si="5"/>
        <v>1645000</v>
      </c>
      <c r="M24" s="304">
        <f t="shared" si="6"/>
        <v>1645000</v>
      </c>
      <c r="N24" s="304">
        <f>Z3-C24</f>
        <v>13</v>
      </c>
      <c r="O24" s="304" t="e">
        <f>N24*H62</f>
        <v>#VALUE!</v>
      </c>
      <c r="P24" s="304" t="str">
        <f>IF(E9="FIB",O24,"")</f>
        <v/>
      </c>
      <c r="Q24" s="304" t="str">
        <f t="shared" si="7"/>
        <v/>
      </c>
      <c r="R24" s="304">
        <f>IF(OR(D9="adb",D9="aib"),M24+X3,M24)</f>
        <v>2645000</v>
      </c>
      <c r="S24" s="304">
        <f t="shared" si="2"/>
        <v>2645000</v>
      </c>
      <c r="T24" s="304">
        <f>IF(OR(D9="ADB",D9="AIB"),S24,"")</f>
        <v>2645000</v>
      </c>
      <c r="U24" s="252"/>
    </row>
    <row r="25" spans="2:21" ht="25" customHeight="1" x14ac:dyDescent="0.15">
      <c r="B25" s="251"/>
      <c r="C25" s="292">
        <f>IF(D8&gt;=11,11,"")</f>
        <v>11</v>
      </c>
      <c r="D25" s="292">
        <f>IF(D8&gt;=11,D24+1,"")</f>
        <v>2028</v>
      </c>
      <c r="E25" s="293">
        <f>IF(D8&gt;=11,E24,"")</f>
        <v>48780</v>
      </c>
      <c r="F25" s="292">
        <f>IF(E9="FIB",F24+60+10,F24+60)</f>
        <v>144</v>
      </c>
      <c r="G25" s="292">
        <f>IF(D8&gt;=11,F25,"")</f>
        <v>144</v>
      </c>
      <c r="H25" s="294">
        <f>IF(D8&gt;=11,G25*E10/1000,"")</f>
        <v>144000</v>
      </c>
      <c r="I25" s="294">
        <f>I24+60</f>
        <v>144</v>
      </c>
      <c r="J25" s="294">
        <f t="shared" si="1"/>
        <v>144</v>
      </c>
      <c r="K25" s="294">
        <f>J25*E10/1000</f>
        <v>144000</v>
      </c>
      <c r="L25" s="294">
        <f>IF(D8&gt;=11,H25+L24,"")</f>
        <v>1789000</v>
      </c>
      <c r="M25" s="294">
        <f>IF(D8&gt;=11,M24+K25,"")</f>
        <v>1789000</v>
      </c>
      <c r="N25" s="294">
        <f>IF(Z3-C25&lt;0,0,Z3-C25)</f>
        <v>12</v>
      </c>
      <c r="O25" s="294" t="e">
        <f>IF(D8&gt;=11,N25*H62,"")</f>
        <v>#VALUE!</v>
      </c>
      <c r="P25" s="294" t="str">
        <f>IF(E9="FIB",O25,"")</f>
        <v/>
      </c>
      <c r="Q25" s="294" t="str">
        <f t="shared" si="7"/>
        <v/>
      </c>
      <c r="R25" s="294">
        <f>IF(OR(D9="adb",D9="aib"),M25+X3,M25)</f>
        <v>2789000</v>
      </c>
      <c r="S25" s="294">
        <f>IF(D8&gt;=11,R25,"")</f>
        <v>2789000</v>
      </c>
      <c r="T25" s="294">
        <f>IF(OR(D9="ADB",D9="AIB"),S25,"")</f>
        <v>2789000</v>
      </c>
      <c r="U25" s="252"/>
    </row>
    <row r="26" spans="2:21" ht="25" customHeight="1" x14ac:dyDescent="0.15">
      <c r="B26" s="251"/>
      <c r="C26" s="302">
        <f>IF(D8&gt;=12,12,"")</f>
        <v>12</v>
      </c>
      <c r="D26" s="302">
        <f>IF(D8&gt;=12,D25+1,"")</f>
        <v>2029</v>
      </c>
      <c r="E26" s="303">
        <f>IF(D8&gt;=12,E25,"")</f>
        <v>48780</v>
      </c>
      <c r="F26" s="302">
        <f>F25</f>
        <v>144</v>
      </c>
      <c r="G26" s="302">
        <f>IF(D8&gt;=12,F26,"")</f>
        <v>144</v>
      </c>
      <c r="H26" s="304">
        <f>IF(D8&gt;=12,G26*E10/1000,"")</f>
        <v>144000</v>
      </c>
      <c r="I26" s="304">
        <f t="shared" si="9"/>
        <v>144</v>
      </c>
      <c r="J26" s="304">
        <f t="shared" si="1"/>
        <v>144</v>
      </c>
      <c r="K26" s="304">
        <f>J26*E10/1000</f>
        <v>144000</v>
      </c>
      <c r="L26" s="304">
        <f>IF(D8&gt;=12,H26+L25,"")</f>
        <v>1933000</v>
      </c>
      <c r="M26" s="304">
        <f>IF(D8&gt;=12,M25+K26,"")</f>
        <v>1933000</v>
      </c>
      <c r="N26" s="304">
        <f>IF(Z3-C26&lt;0,0,Z3-C26)</f>
        <v>11</v>
      </c>
      <c r="O26" s="304" t="e">
        <f>IF(D8&gt;=12,N26*H62,"")</f>
        <v>#VALUE!</v>
      </c>
      <c r="P26" s="304" t="str">
        <f>IF(E9="FIB",O26,"")</f>
        <v/>
      </c>
      <c r="Q26" s="304" t="str">
        <f t="shared" si="7"/>
        <v/>
      </c>
      <c r="R26" s="304">
        <f>IF(OR(D9="adb",D9="aib"),M26+X3,M26)</f>
        <v>2933000</v>
      </c>
      <c r="S26" s="304">
        <f>IF(D8&gt;=12,R26,"")</f>
        <v>2933000</v>
      </c>
      <c r="T26" s="304">
        <f>IF(OR(D9="ADB",D9="AIB"),S26,"")</f>
        <v>2933000</v>
      </c>
      <c r="U26" s="252"/>
    </row>
    <row r="27" spans="2:21" ht="25" customHeight="1" x14ac:dyDescent="0.15">
      <c r="B27" s="251"/>
      <c r="C27" s="292">
        <f>IF(D8&gt;=13,13,"")</f>
        <v>13</v>
      </c>
      <c r="D27" s="292">
        <f>IF(D8&gt;=13,D26+1,"")</f>
        <v>2030</v>
      </c>
      <c r="E27" s="293">
        <f>IF(D8&gt;=13,E26,"")</f>
        <v>48780</v>
      </c>
      <c r="F27" s="292">
        <f>F26</f>
        <v>144</v>
      </c>
      <c r="G27" s="292">
        <f>IF(D8&gt;=13,F27,"")</f>
        <v>144</v>
      </c>
      <c r="H27" s="294">
        <f>IF(D8&gt;=13,G27*E10/1000,"")</f>
        <v>144000</v>
      </c>
      <c r="I27" s="294">
        <f t="shared" si="9"/>
        <v>144</v>
      </c>
      <c r="J27" s="294">
        <f t="shared" si="1"/>
        <v>144</v>
      </c>
      <c r="K27" s="294">
        <f>J27*E10/1000</f>
        <v>144000</v>
      </c>
      <c r="L27" s="294">
        <f>IF(D8&gt;=13,H27+L26,"")</f>
        <v>2077000</v>
      </c>
      <c r="M27" s="294">
        <f>IF(D8&gt;=13,M26+K27,"")</f>
        <v>2077000</v>
      </c>
      <c r="N27" s="294">
        <f>IF(Z3-C27&lt;0,0,Z3-C27)</f>
        <v>10</v>
      </c>
      <c r="O27" s="294" t="e">
        <f>IF(D8&gt;=13,N27*H62,"")</f>
        <v>#VALUE!</v>
      </c>
      <c r="P27" s="294" t="str">
        <f>IF(E9="FIB",O27,"")</f>
        <v/>
      </c>
      <c r="Q27" s="294" t="str">
        <f t="shared" si="7"/>
        <v/>
      </c>
      <c r="R27" s="294">
        <f>IF(OR(D9="adb",D9="aib"),M27+X3,M27)</f>
        <v>3077000</v>
      </c>
      <c r="S27" s="294">
        <f>IF(D8&gt;=13,R27,"")</f>
        <v>3077000</v>
      </c>
      <c r="T27" s="294">
        <f>IF(OR(D9="ADB",D9="AIB"),S27,"")</f>
        <v>3077000</v>
      </c>
      <c r="U27" s="252"/>
    </row>
    <row r="28" spans="2:21" ht="25" customHeight="1" x14ac:dyDescent="0.15">
      <c r="B28" s="251"/>
      <c r="C28" s="302">
        <f>IF(D8&gt;=14,14,"")</f>
        <v>14</v>
      </c>
      <c r="D28" s="302">
        <f>IF(D8&gt;=14,D27+1,"")</f>
        <v>2031</v>
      </c>
      <c r="E28" s="303">
        <f>IF(D8&gt;=14,E27,"")</f>
        <v>48780</v>
      </c>
      <c r="F28" s="302">
        <f>F27</f>
        <v>144</v>
      </c>
      <c r="G28" s="302">
        <f>IF(D8&gt;=14,F28,"")</f>
        <v>144</v>
      </c>
      <c r="H28" s="304">
        <f>IF(D8&gt;=14,G28*E10/1000,"")</f>
        <v>144000</v>
      </c>
      <c r="I28" s="304">
        <f t="shared" si="9"/>
        <v>144</v>
      </c>
      <c r="J28" s="304">
        <f t="shared" si="1"/>
        <v>144</v>
      </c>
      <c r="K28" s="304">
        <f>J28*E10/1000</f>
        <v>144000</v>
      </c>
      <c r="L28" s="304">
        <f>IF(D8&gt;=14,H28+L27,"")</f>
        <v>2221000</v>
      </c>
      <c r="M28" s="304">
        <f>IF(D8&gt;=14,M27+K28,"")</f>
        <v>2221000</v>
      </c>
      <c r="N28" s="304">
        <f>IF(Z3-C28&lt;0,0,Z3-C28)</f>
        <v>9</v>
      </c>
      <c r="O28" s="304" t="e">
        <f>IF(D8&gt;=14,N28*H62,"")</f>
        <v>#VALUE!</v>
      </c>
      <c r="P28" s="304" t="str">
        <f>IF(E9="FIB",O28,"")</f>
        <v/>
      </c>
      <c r="Q28" s="304" t="str">
        <f t="shared" si="7"/>
        <v/>
      </c>
      <c r="R28" s="304">
        <f>IF(OR(D9="adb",D9="aib"),M28+X3,M28)</f>
        <v>3221000</v>
      </c>
      <c r="S28" s="304">
        <f>IF(D8&gt;=14,R28,"")</f>
        <v>3221000</v>
      </c>
      <c r="T28" s="304">
        <f>IF(OR(D9="ADB",D9="AIB"),S28,"")</f>
        <v>3221000</v>
      </c>
      <c r="U28" s="252"/>
    </row>
    <row r="29" spans="2:21" ht="25" customHeight="1" x14ac:dyDescent="0.15">
      <c r="B29" s="251"/>
      <c r="C29" s="292">
        <f>IF(D8&gt;=15,15,"")</f>
        <v>15</v>
      </c>
      <c r="D29" s="292">
        <f>IF(D8&gt;=15,D28+1,"")</f>
        <v>2032</v>
      </c>
      <c r="E29" s="293">
        <f>IF(D8&gt;=15,E28,"")</f>
        <v>48780</v>
      </c>
      <c r="F29" s="292">
        <f>F28</f>
        <v>144</v>
      </c>
      <c r="G29" s="292">
        <f>IF(D8&gt;=15,F29,"")</f>
        <v>144</v>
      </c>
      <c r="H29" s="294">
        <f>IF(D8&gt;=15,G29*E10/1000,"")</f>
        <v>144000</v>
      </c>
      <c r="I29" s="294">
        <f t="shared" si="9"/>
        <v>144</v>
      </c>
      <c r="J29" s="294">
        <f t="shared" si="1"/>
        <v>144</v>
      </c>
      <c r="K29" s="294">
        <f>J29*E10/1000</f>
        <v>144000</v>
      </c>
      <c r="L29" s="294">
        <f>IF(D8&gt;=15,H29+L28,"")</f>
        <v>2365000</v>
      </c>
      <c r="M29" s="294">
        <f>IF(D8&gt;=15,M28+K29,"")</f>
        <v>2365000</v>
      </c>
      <c r="N29" s="294">
        <f>IF(Z3-C29&lt;0,0,Z3-C29)</f>
        <v>8</v>
      </c>
      <c r="O29" s="294" t="e">
        <f>IF(D8&gt;=15,N29*H62,"")</f>
        <v>#VALUE!</v>
      </c>
      <c r="P29" s="294" t="str">
        <f>IF(E9="FIB",O29,"")</f>
        <v/>
      </c>
      <c r="Q29" s="294" t="str">
        <f t="shared" si="7"/>
        <v/>
      </c>
      <c r="R29" s="294">
        <f>IF(OR(D9="adb",D9="aib"),M29+X3,M29)</f>
        <v>3365000</v>
      </c>
      <c r="S29" s="294">
        <f>IF(D8&gt;=15,R29,"")</f>
        <v>3365000</v>
      </c>
      <c r="T29" s="294">
        <f>IF(OR(D9="ADB",D9="AIB"),S29,"")</f>
        <v>3365000</v>
      </c>
      <c r="U29" s="252"/>
    </row>
    <row r="30" spans="2:21" ht="25" customHeight="1" x14ac:dyDescent="0.15">
      <c r="B30" s="251"/>
      <c r="C30" s="302">
        <f>IF(D8&gt;=16,16,"")</f>
        <v>16</v>
      </c>
      <c r="D30" s="302">
        <f>IF(D8&gt;=16,D29+1,"")</f>
        <v>2033</v>
      </c>
      <c r="E30" s="303">
        <f>IF(D8&gt;=16,E29,"")</f>
        <v>48780</v>
      </c>
      <c r="F30" s="302">
        <f>F29</f>
        <v>144</v>
      </c>
      <c r="G30" s="302">
        <f>IF(D8&gt;=16,F30,"")</f>
        <v>144</v>
      </c>
      <c r="H30" s="304">
        <f>IF(D8&gt;=16,G30*E10/1000,"")</f>
        <v>144000</v>
      </c>
      <c r="I30" s="304">
        <f t="shared" si="9"/>
        <v>144</v>
      </c>
      <c r="J30" s="304">
        <f t="shared" si="1"/>
        <v>144</v>
      </c>
      <c r="K30" s="304">
        <f>J30*E10/1000</f>
        <v>144000</v>
      </c>
      <c r="L30" s="304">
        <f>IF(D8&gt;=16,H30+L29,"")</f>
        <v>2509000</v>
      </c>
      <c r="M30" s="304">
        <f>IF(D8&gt;=16,M29+K30,"")</f>
        <v>2509000</v>
      </c>
      <c r="N30" s="304">
        <f>IF(Z3-C30&lt;0,0,Z3-C30)</f>
        <v>7</v>
      </c>
      <c r="O30" s="304" t="e">
        <f>IF(D8&gt;=16,N30*H62,"")</f>
        <v>#VALUE!</v>
      </c>
      <c r="P30" s="304" t="str">
        <f>IF(E9="FIB",O30,"")</f>
        <v/>
      </c>
      <c r="Q30" s="304" t="str">
        <f t="shared" si="7"/>
        <v/>
      </c>
      <c r="R30" s="304">
        <f>IF(OR(D9="adb",D9="aib"),M30+X3,M30)</f>
        <v>3509000</v>
      </c>
      <c r="S30" s="304">
        <f>IF(D8&gt;=16,R30,"")</f>
        <v>3509000</v>
      </c>
      <c r="T30" s="304">
        <f>IF(OR(D9="ADB",D9="AIB"),S30,"")</f>
        <v>3509000</v>
      </c>
      <c r="U30" s="252"/>
    </row>
    <row r="31" spans="2:21" ht="25" customHeight="1" x14ac:dyDescent="0.15">
      <c r="B31" s="251"/>
      <c r="C31" s="292">
        <f>IF(D8&gt;=17,17,"")</f>
        <v>17</v>
      </c>
      <c r="D31" s="292">
        <f>IF(D8&gt;=17,D30+1,"")</f>
        <v>2034</v>
      </c>
      <c r="E31" s="293">
        <f>IF(D8&gt;=17,E30,"")</f>
        <v>48780</v>
      </c>
      <c r="F31" s="292">
        <f>IF(E9="FIB",AA7+10,AA7)</f>
        <v>190</v>
      </c>
      <c r="G31" s="292">
        <f>IF(D8&gt;=17,F31,"")</f>
        <v>190</v>
      </c>
      <c r="H31" s="294">
        <f>IF(D8&gt;=17,G31*E10/1000,"")</f>
        <v>190000</v>
      </c>
      <c r="I31" s="294">
        <f>AA7</f>
        <v>190</v>
      </c>
      <c r="J31" s="294">
        <f t="shared" si="1"/>
        <v>190</v>
      </c>
      <c r="K31" s="294">
        <f>J31*E10/1000</f>
        <v>190000</v>
      </c>
      <c r="L31" s="294">
        <f>IF(D8&gt;=17,H31+L30,"")</f>
        <v>2699000</v>
      </c>
      <c r="M31" s="294">
        <f>IF(D8&gt;=17,M30+K31,"")</f>
        <v>2699000</v>
      </c>
      <c r="N31" s="294">
        <f>IF(Z3-C31&lt;0,0,Z3-C31)</f>
        <v>6</v>
      </c>
      <c r="O31" s="294" t="e">
        <f>IF(D8&gt;=17,N31*H62,"")</f>
        <v>#VALUE!</v>
      </c>
      <c r="P31" s="294" t="str">
        <f>IF(E9="FIB",O31,"")</f>
        <v/>
      </c>
      <c r="Q31" s="294" t="str">
        <f t="shared" si="7"/>
        <v/>
      </c>
      <c r="R31" s="294">
        <f>IF(OR(D9="adb",D9="aib"),M31+X3,M31)</f>
        <v>3699000</v>
      </c>
      <c r="S31" s="294">
        <f>IF(D8&gt;=17,R31,"")</f>
        <v>3699000</v>
      </c>
      <c r="T31" s="294">
        <f>IF(OR(D9="ADB",D9="AIB"),S31,"")</f>
        <v>3699000</v>
      </c>
      <c r="U31" s="252"/>
    </row>
    <row r="32" spans="2:21" ht="25" customHeight="1" x14ac:dyDescent="0.15">
      <c r="B32" s="251"/>
      <c r="C32" s="302">
        <f>IF(D8&gt;=18,18,"")</f>
        <v>18</v>
      </c>
      <c r="D32" s="302">
        <f>IF(D8&gt;=18,D31+1,"")</f>
        <v>2035</v>
      </c>
      <c r="E32" s="303">
        <f>IF(D8&gt;=18,E31,"")</f>
        <v>48780</v>
      </c>
      <c r="F32" s="302">
        <f>F31</f>
        <v>190</v>
      </c>
      <c r="G32" s="302">
        <f>IF(D8&gt;=18,F32,"")</f>
        <v>190</v>
      </c>
      <c r="H32" s="304">
        <f>IF(D8&gt;=18,G32*E10/1000,"")</f>
        <v>190000</v>
      </c>
      <c r="I32" s="304">
        <f>I31</f>
        <v>190</v>
      </c>
      <c r="J32" s="304">
        <f t="shared" si="1"/>
        <v>190</v>
      </c>
      <c r="K32" s="304">
        <f>J32*E10/1000</f>
        <v>190000</v>
      </c>
      <c r="L32" s="304">
        <f>IF(D8&gt;=18,H32+L31,"")</f>
        <v>2889000</v>
      </c>
      <c r="M32" s="304">
        <f>IF(D8&gt;=18,M31+K32,"")</f>
        <v>2889000</v>
      </c>
      <c r="N32" s="304">
        <f>IF(Z3-C32&lt;0,0,Z3-C32)</f>
        <v>5</v>
      </c>
      <c r="O32" s="304" t="e">
        <f>IF(D8&gt;=18,N32*H62,"")</f>
        <v>#VALUE!</v>
      </c>
      <c r="P32" s="304" t="str">
        <f>IF(E9="FIB",O32,"")</f>
        <v/>
      </c>
      <c r="Q32" s="304" t="str">
        <f t="shared" si="7"/>
        <v/>
      </c>
      <c r="R32" s="304">
        <f>IF(OR(D9="adb",D9="aib"),M32+X3,M32)</f>
        <v>3889000</v>
      </c>
      <c r="S32" s="304">
        <f>IF(D8&gt;=18,R32,"")</f>
        <v>3889000</v>
      </c>
      <c r="T32" s="304">
        <f>IF(OR(D9="ADB",D9="AIB"),S32,"")</f>
        <v>3889000</v>
      </c>
      <c r="U32" s="252"/>
    </row>
    <row r="33" spans="2:21" ht="25" customHeight="1" x14ac:dyDescent="0.15">
      <c r="B33" s="251"/>
      <c r="C33" s="292">
        <f>IF(D8&gt;=19,19,"")</f>
        <v>19</v>
      </c>
      <c r="D33" s="292">
        <f>IF(D8&gt;=19,D32+1,"")</f>
        <v>2036</v>
      </c>
      <c r="E33" s="293">
        <f>IF(D8&gt;=19,E32,"")</f>
        <v>48780</v>
      </c>
      <c r="F33" s="292">
        <f>F32</f>
        <v>190</v>
      </c>
      <c r="G33" s="292">
        <f>IF(D8&gt;=19,F33,"")</f>
        <v>190</v>
      </c>
      <c r="H33" s="294">
        <f>IF(D8&gt;=19,G33*E10/1000,"")</f>
        <v>190000</v>
      </c>
      <c r="I33" s="294">
        <f>I32</f>
        <v>190</v>
      </c>
      <c r="J33" s="294">
        <f t="shared" si="1"/>
        <v>190</v>
      </c>
      <c r="K33" s="294">
        <f>J33*E10/1000</f>
        <v>190000</v>
      </c>
      <c r="L33" s="294">
        <f>IF(D8&gt;=19,H33+L32,"")</f>
        <v>3079000</v>
      </c>
      <c r="M33" s="294">
        <f>IF(D8&gt;=19,M32+K33,"")</f>
        <v>3079000</v>
      </c>
      <c r="N33" s="294">
        <f>IF(Z3-C33&lt;0,0,Z3-C33)</f>
        <v>4</v>
      </c>
      <c r="O33" s="294" t="e">
        <f>IF(D8&gt;=19,N33*H62,"")</f>
        <v>#VALUE!</v>
      </c>
      <c r="P33" s="294" t="str">
        <f>IF(E9="FIB",O33,"")</f>
        <v/>
      </c>
      <c r="Q33" s="294" t="str">
        <f t="shared" si="7"/>
        <v/>
      </c>
      <c r="R33" s="294">
        <f>IF(OR(D9="adb",D9="aib"),M33+X3,M33)</f>
        <v>4079000</v>
      </c>
      <c r="S33" s="294">
        <f>IF(D8&gt;=19,R33,"")</f>
        <v>4079000</v>
      </c>
      <c r="T33" s="294">
        <f>IF(OR(D9="ADB",D9="AIB"),S33,"")</f>
        <v>4079000</v>
      </c>
      <c r="U33" s="252"/>
    </row>
    <row r="34" spans="2:21" ht="25" customHeight="1" x14ac:dyDescent="0.15">
      <c r="B34" s="251"/>
      <c r="C34" s="302">
        <f>IF(D8&gt;=20,20,"")</f>
        <v>20</v>
      </c>
      <c r="D34" s="302">
        <f>IF(D8&gt;=20,D33+1,"")</f>
        <v>2037</v>
      </c>
      <c r="E34" s="303">
        <f>IF(D8&gt;=20,E33,"")</f>
        <v>48780</v>
      </c>
      <c r="F34" s="302">
        <f>F33</f>
        <v>190</v>
      </c>
      <c r="G34" s="302">
        <f>IF(D8&gt;=20,F34,"")</f>
        <v>190</v>
      </c>
      <c r="H34" s="304">
        <f>IF(D8&gt;=20,G34*E10/1000,"")</f>
        <v>190000</v>
      </c>
      <c r="I34" s="304">
        <f>I33</f>
        <v>190</v>
      </c>
      <c r="J34" s="304">
        <f t="shared" si="1"/>
        <v>190</v>
      </c>
      <c r="K34" s="304">
        <f>J34*E10/1000</f>
        <v>190000</v>
      </c>
      <c r="L34" s="304">
        <f>IF(D8&gt;=20,H34+L33,"")</f>
        <v>3269000</v>
      </c>
      <c r="M34" s="304">
        <f>IF(D8&gt;=20,M33+K34,"")</f>
        <v>3269000</v>
      </c>
      <c r="N34" s="304">
        <f>IF(Z3-C34&lt;0,0,Z3-C34)</f>
        <v>3</v>
      </c>
      <c r="O34" s="304" t="e">
        <f>IF(D8&gt;=20,N34*H62,"")</f>
        <v>#VALUE!</v>
      </c>
      <c r="P34" s="304" t="str">
        <f>IF(E9="FIB",O34,"")</f>
        <v/>
      </c>
      <c r="Q34" s="304" t="str">
        <f t="shared" si="7"/>
        <v/>
      </c>
      <c r="R34" s="304">
        <f>IF(OR(D9="adb",D9="aib"),M34+X3,M34)</f>
        <v>4269000</v>
      </c>
      <c r="S34" s="304">
        <f>IF(D8&gt;=20,R34,"")</f>
        <v>4269000</v>
      </c>
      <c r="T34" s="304">
        <f>IF(OR(D9="ADB",D9="AIB"),S34,"")</f>
        <v>4269000</v>
      </c>
      <c r="U34" s="252"/>
    </row>
    <row r="35" spans="2:21" ht="25" customHeight="1" x14ac:dyDescent="0.15">
      <c r="B35" s="251"/>
      <c r="C35" s="292" t="str">
        <f>IF(D8&gt;=21,21,"")</f>
        <v/>
      </c>
      <c r="D35" s="292" t="str">
        <f>IF(D8&gt;=21,D34+1,"")</f>
        <v/>
      </c>
      <c r="E35" s="293" t="str">
        <f>IF(D8&gt;=21,E34,"")</f>
        <v/>
      </c>
      <c r="F35" s="292">
        <f t="shared" ref="F35:F59" si="10">F34</f>
        <v>190</v>
      </c>
      <c r="G35" s="292" t="str">
        <f>IF(D8&gt;=21,F35,"")</f>
        <v/>
      </c>
      <c r="H35" s="294" t="str">
        <f>IF(D8&gt;=21,G35*E10/1000,"")</f>
        <v/>
      </c>
      <c r="I35" s="294">
        <f t="shared" ref="I35:I59" si="11">I34</f>
        <v>190</v>
      </c>
      <c r="J35" s="294">
        <f t="shared" si="1"/>
        <v>190</v>
      </c>
      <c r="K35" s="294">
        <f>J35*E10/1000</f>
        <v>190000</v>
      </c>
      <c r="L35" s="294" t="str">
        <f>IF(D8&gt;=21,H35+L34,"")</f>
        <v/>
      </c>
      <c r="M35" s="294" t="str">
        <f>IF(D8&gt;=21,M34+K35,"")</f>
        <v/>
      </c>
      <c r="N35" s="294" t="e">
        <f>IF(Z3-C35&lt;0,0,Z3-C35)</f>
        <v>#VALUE!</v>
      </c>
      <c r="O35" s="294" t="e">
        <f>IF(D8&gt;=20,N35*H62,"")</f>
        <v>#VALUE!</v>
      </c>
      <c r="P35" s="294" t="str">
        <f>IF(E9="FIB",O35,"")</f>
        <v/>
      </c>
      <c r="Q35" s="294" t="str">
        <f t="shared" si="7"/>
        <v/>
      </c>
      <c r="R35" s="294" t="e">
        <f>IF(OR(D9="adb",D9="aib"),M35+X3,M35)</f>
        <v>#VALUE!</v>
      </c>
      <c r="S35" s="294" t="str">
        <f>IF(D8&gt;=21,R35,"")</f>
        <v/>
      </c>
      <c r="T35" s="294" t="str">
        <f>IF(OR(D9="ADB",D9="AIB"),S35,"")</f>
        <v/>
      </c>
      <c r="U35" s="252"/>
    </row>
    <row r="36" spans="2:21" ht="25" customHeight="1" x14ac:dyDescent="0.15">
      <c r="B36" s="251"/>
      <c r="C36" s="302" t="str">
        <f>IF(D8&gt;=22,22,"")</f>
        <v/>
      </c>
      <c r="D36" s="302" t="str">
        <f>IF(D8&gt;=22,D35+1,"")</f>
        <v/>
      </c>
      <c r="E36" s="303" t="str">
        <f>IF(D8&gt;=22,E35,"")</f>
        <v/>
      </c>
      <c r="F36" s="302">
        <f t="shared" si="10"/>
        <v>190</v>
      </c>
      <c r="G36" s="302" t="str">
        <f>IF(D8&gt;=22,F36,"")</f>
        <v/>
      </c>
      <c r="H36" s="304" t="str">
        <f>IF(D8&gt;=22,G36*E10/1000,"")</f>
        <v/>
      </c>
      <c r="I36" s="304">
        <f t="shared" si="11"/>
        <v>190</v>
      </c>
      <c r="J36" s="304">
        <f t="shared" si="1"/>
        <v>190</v>
      </c>
      <c r="K36" s="304">
        <f>J36*E10/1000</f>
        <v>190000</v>
      </c>
      <c r="L36" s="304" t="str">
        <f>IF(D8&gt;=22,H36+L35,"")</f>
        <v/>
      </c>
      <c r="M36" s="304" t="str">
        <f>IF(D8&gt;=22,M35+K36,"")</f>
        <v/>
      </c>
      <c r="N36" s="304" t="e">
        <f>IF(Z3-C36&lt;0,0,Z3-C36)</f>
        <v>#VALUE!</v>
      </c>
      <c r="O36" s="304" t="e">
        <f>IF(D8&gt;=20,N36*H62,"")</f>
        <v>#VALUE!</v>
      </c>
      <c r="P36" s="304" t="str">
        <f>IF(E9="FIB",O36,"")</f>
        <v/>
      </c>
      <c r="Q36" s="304" t="str">
        <f t="shared" si="7"/>
        <v/>
      </c>
      <c r="R36" s="304" t="e">
        <f>IF(OR(D9="adb",D9="aib"),M36+X3,M36)</f>
        <v>#VALUE!</v>
      </c>
      <c r="S36" s="304" t="str">
        <f>IF(D8&gt;=22,R36,"")</f>
        <v/>
      </c>
      <c r="T36" s="304" t="str">
        <f>IF(OR(D9="ADB",D9="AIB"),S36,"")</f>
        <v/>
      </c>
      <c r="U36" s="252"/>
    </row>
    <row r="37" spans="2:21" ht="25" customHeight="1" x14ac:dyDescent="0.15">
      <c r="B37" s="251"/>
      <c r="C37" s="292" t="str">
        <f>IF(D8&gt;=23,23,"")</f>
        <v/>
      </c>
      <c r="D37" s="292" t="str">
        <f>IF(D8&gt;=23,D36+1,"")</f>
        <v/>
      </c>
      <c r="E37" s="293" t="str">
        <f>IF(D8&gt;=23,E36,"")</f>
        <v/>
      </c>
      <c r="F37" s="292">
        <f t="shared" si="10"/>
        <v>190</v>
      </c>
      <c r="G37" s="292" t="str">
        <f>IF(D8&gt;=23,F37,"")</f>
        <v/>
      </c>
      <c r="H37" s="294" t="str">
        <f>IF(D8&gt;=23,G37*E10/1000,"")</f>
        <v/>
      </c>
      <c r="I37" s="294">
        <f t="shared" si="11"/>
        <v>190</v>
      </c>
      <c r="J37" s="294">
        <f t="shared" si="1"/>
        <v>190</v>
      </c>
      <c r="K37" s="294">
        <f>J37*E10/1000</f>
        <v>190000</v>
      </c>
      <c r="L37" s="294" t="str">
        <f>IF(D8&gt;=23,H37+L36,"")</f>
        <v/>
      </c>
      <c r="M37" s="294" t="str">
        <f>IF(D8&gt;=23,M36+K37,"")</f>
        <v/>
      </c>
      <c r="N37" s="294" t="e">
        <f>IF(Z3-C37&lt;0,0,Z3-C37)</f>
        <v>#VALUE!</v>
      </c>
      <c r="O37" s="294" t="e">
        <f>IF(D8&gt;=20,N37*H62,"")</f>
        <v>#VALUE!</v>
      </c>
      <c r="P37" s="294" t="str">
        <f>IF(E9="FIB",O37,"")</f>
        <v/>
      </c>
      <c r="Q37" s="294" t="str">
        <f t="shared" si="7"/>
        <v/>
      </c>
      <c r="R37" s="294" t="e">
        <f>IF(OR(D9="adb",D9="aib"),M37+X3,M37)</f>
        <v>#VALUE!</v>
      </c>
      <c r="S37" s="294" t="str">
        <f>IF(D8&gt;=23,R37,"")</f>
        <v/>
      </c>
      <c r="T37" s="294" t="str">
        <f>IF(OR(D9="ADB",D9="AIB"),S37,"")</f>
        <v/>
      </c>
      <c r="U37" s="252"/>
    </row>
    <row r="38" spans="2:21" ht="25" customHeight="1" x14ac:dyDescent="0.15">
      <c r="B38" s="251"/>
      <c r="C38" s="302" t="str">
        <f>IF(D8&gt;=24,24,"")</f>
        <v/>
      </c>
      <c r="D38" s="302" t="str">
        <f>IF(D8&gt;=24,D37+1,"")</f>
        <v/>
      </c>
      <c r="E38" s="303" t="str">
        <f>IF(D8&gt;=24,E37,"")</f>
        <v/>
      </c>
      <c r="F38" s="302">
        <f t="shared" si="10"/>
        <v>190</v>
      </c>
      <c r="G38" s="302" t="str">
        <f>IF(D8&gt;=24,F38,"")</f>
        <v/>
      </c>
      <c r="H38" s="304" t="str">
        <f>IF(D8&gt;=24,G38*E10/1000,"")</f>
        <v/>
      </c>
      <c r="I38" s="304">
        <f t="shared" si="11"/>
        <v>190</v>
      </c>
      <c r="J38" s="304">
        <f t="shared" si="1"/>
        <v>190</v>
      </c>
      <c r="K38" s="304">
        <f>J38*E10/1000</f>
        <v>190000</v>
      </c>
      <c r="L38" s="304" t="str">
        <f>IF(D8&gt;=24,H38+L37,"")</f>
        <v/>
      </c>
      <c r="M38" s="304" t="str">
        <f>IF(D8&gt;=24,M37+K38,"")</f>
        <v/>
      </c>
      <c r="N38" s="304" t="e">
        <f>IF(Z3-C38&lt;0,0,Z3-C38)</f>
        <v>#VALUE!</v>
      </c>
      <c r="O38" s="304" t="e">
        <f>IF(D8&gt;=20,N38*H62,"")</f>
        <v>#VALUE!</v>
      </c>
      <c r="P38" s="304" t="str">
        <f>IF(E9="FIB",O38,"")</f>
        <v/>
      </c>
      <c r="Q38" s="304" t="str">
        <f t="shared" si="7"/>
        <v/>
      </c>
      <c r="R38" s="304" t="e">
        <f>IF(OR(D9="adb",D9="aib"),M38+X3,M38)</f>
        <v>#VALUE!</v>
      </c>
      <c r="S38" s="304" t="str">
        <f>IF(D8&gt;=24,R38,"")</f>
        <v/>
      </c>
      <c r="T38" s="304" t="str">
        <f>IF(OR(D9="ADB",D9="AIB"),S38,"")</f>
        <v/>
      </c>
      <c r="U38" s="252"/>
    </row>
    <row r="39" spans="2:21" ht="25" customHeight="1" x14ac:dyDescent="0.15">
      <c r="B39" s="251"/>
      <c r="C39" s="292" t="str">
        <f>IF(D8&gt;=25,25,"")</f>
        <v/>
      </c>
      <c r="D39" s="292" t="str">
        <f>IF(D8&gt;=25,D38+1,"")</f>
        <v/>
      </c>
      <c r="E39" s="293" t="str">
        <f>IF(D8&gt;=25,E38,"")</f>
        <v/>
      </c>
      <c r="F39" s="292">
        <f t="shared" si="10"/>
        <v>190</v>
      </c>
      <c r="G39" s="292" t="str">
        <f>IF(D8&gt;=25,F39,"")</f>
        <v/>
      </c>
      <c r="H39" s="294" t="str">
        <f>IF(D8&gt;=25,G39*E10/1000,"")</f>
        <v/>
      </c>
      <c r="I39" s="294">
        <f t="shared" si="11"/>
        <v>190</v>
      </c>
      <c r="J39" s="294">
        <f t="shared" si="1"/>
        <v>190</v>
      </c>
      <c r="K39" s="294">
        <f>J39*E10/1000</f>
        <v>190000</v>
      </c>
      <c r="L39" s="294" t="str">
        <f>IF(D8&gt;=25,H39+L38,"")</f>
        <v/>
      </c>
      <c r="M39" s="294" t="str">
        <f>IF(D8&gt;=25,M38+K39,"")</f>
        <v/>
      </c>
      <c r="N39" s="294" t="e">
        <f>IF(Z3-C39&lt;0,0,Z3-C39)</f>
        <v>#VALUE!</v>
      </c>
      <c r="O39" s="294" t="e">
        <f>IF(D8&gt;=20,N39*H62,"")</f>
        <v>#VALUE!</v>
      </c>
      <c r="P39" s="294" t="str">
        <f>IF(E9="FIB",O39,"")</f>
        <v/>
      </c>
      <c r="Q39" s="294" t="str">
        <f t="shared" si="7"/>
        <v/>
      </c>
      <c r="R39" s="294" t="e">
        <f>IF(OR(D9="adb",D9="aib"),M39+X3,M39)</f>
        <v>#VALUE!</v>
      </c>
      <c r="S39" s="294" t="str">
        <f>IF(D8&gt;=25,R39,"")</f>
        <v/>
      </c>
      <c r="T39" s="294" t="str">
        <f>IF(OR(D9="ADB",D9="AIB"),S39,"")</f>
        <v/>
      </c>
      <c r="U39" s="252"/>
    </row>
    <row r="40" spans="2:21" ht="25" customHeight="1" x14ac:dyDescent="0.15">
      <c r="B40" s="251"/>
      <c r="C40" s="302" t="str">
        <f>IF(D8&gt;=26,26,"")</f>
        <v/>
      </c>
      <c r="D40" s="302" t="str">
        <f>IF(D8&gt;=26,D39+1,"")</f>
        <v/>
      </c>
      <c r="E40" s="303" t="str">
        <f>IF(D8&gt;=26,E39,"")</f>
        <v/>
      </c>
      <c r="F40" s="302">
        <f t="shared" si="10"/>
        <v>190</v>
      </c>
      <c r="G40" s="302" t="str">
        <f>IF(D8&gt;=26,F40,"")</f>
        <v/>
      </c>
      <c r="H40" s="304" t="str">
        <f>IF(D8&gt;=26,G40*E10/1000,"")</f>
        <v/>
      </c>
      <c r="I40" s="304">
        <f t="shared" si="11"/>
        <v>190</v>
      </c>
      <c r="J40" s="304">
        <f t="shared" si="1"/>
        <v>190</v>
      </c>
      <c r="K40" s="304">
        <f>J40*E10/1000</f>
        <v>190000</v>
      </c>
      <c r="L40" s="304" t="str">
        <f>IF(D8&gt;=26,H40+L39,"")</f>
        <v/>
      </c>
      <c r="M40" s="304" t="str">
        <f>IF(D8&gt;=26,M39+K40,"")</f>
        <v/>
      </c>
      <c r="N40" s="304" t="e">
        <f>IF(Z3-C40&lt;0,0,Z3-C40)</f>
        <v>#VALUE!</v>
      </c>
      <c r="O40" s="304" t="e">
        <f>IF(D8&gt;=20,N40*H62,"")</f>
        <v>#VALUE!</v>
      </c>
      <c r="P40" s="304" t="str">
        <f>IF(E9="FIB",O40,"")</f>
        <v/>
      </c>
      <c r="Q40" s="304" t="str">
        <f t="shared" si="7"/>
        <v/>
      </c>
      <c r="R40" s="304" t="e">
        <f>IF(OR(D9="adb",D9="aib"),M40+X3,M40)</f>
        <v>#VALUE!</v>
      </c>
      <c r="S40" s="304" t="str">
        <f>IF(D8&gt;=26,R40,"")</f>
        <v/>
      </c>
      <c r="T40" s="304" t="str">
        <f>IF(OR(D9="ADB",D9="AIB"),S40,"")</f>
        <v/>
      </c>
      <c r="U40" s="252"/>
    </row>
    <row r="41" spans="2:21" ht="25" customHeight="1" x14ac:dyDescent="0.15">
      <c r="B41" s="251"/>
      <c r="C41" s="292" t="str">
        <f>IF(D8&gt;=27,27,"")</f>
        <v/>
      </c>
      <c r="D41" s="292" t="str">
        <f>IF(D8&gt;=27,D40+1,"")</f>
        <v/>
      </c>
      <c r="E41" s="293" t="str">
        <f>IF(D8&gt;=27,E40,"")</f>
        <v/>
      </c>
      <c r="F41" s="292">
        <f t="shared" si="10"/>
        <v>190</v>
      </c>
      <c r="G41" s="292" t="str">
        <f>IF(D8&gt;=27,F41,"")</f>
        <v/>
      </c>
      <c r="H41" s="294" t="str">
        <f>IF(D8&gt;=27,G41*E10/1000,"")</f>
        <v/>
      </c>
      <c r="I41" s="294">
        <f t="shared" si="11"/>
        <v>190</v>
      </c>
      <c r="J41" s="294">
        <f t="shared" si="1"/>
        <v>190</v>
      </c>
      <c r="K41" s="294">
        <f>J41*E10/1000</f>
        <v>190000</v>
      </c>
      <c r="L41" s="294" t="str">
        <f>IF(D8&gt;=27,H41+L40,"")</f>
        <v/>
      </c>
      <c r="M41" s="294" t="str">
        <f>IF(D8&gt;=27,M40+K41,"")</f>
        <v/>
      </c>
      <c r="N41" s="294" t="e">
        <f>IF(Z3-C41&lt;0,0,Z3-C41)</f>
        <v>#VALUE!</v>
      </c>
      <c r="O41" s="294" t="e">
        <f>IF(D8&gt;=20,N41*H62,"")</f>
        <v>#VALUE!</v>
      </c>
      <c r="P41" s="294" t="str">
        <f>IF(E9="FIB",O41,"")</f>
        <v/>
      </c>
      <c r="Q41" s="294" t="str">
        <f t="shared" si="7"/>
        <v/>
      </c>
      <c r="R41" s="294" t="e">
        <f>IF(OR(D9="adb",D9="aib"),M41+X3,M41)</f>
        <v>#VALUE!</v>
      </c>
      <c r="S41" s="294" t="str">
        <f>IF(D8&gt;=27,R41,"")</f>
        <v/>
      </c>
      <c r="T41" s="294" t="str">
        <f>IF(OR(D9="ADB",D9="AIB"),S41,"")</f>
        <v/>
      </c>
      <c r="U41" s="252"/>
    </row>
    <row r="42" spans="2:21" ht="25" customHeight="1" x14ac:dyDescent="0.15">
      <c r="B42" s="251"/>
      <c r="C42" s="302" t="str">
        <f>IF(D8&gt;=28,28,"")</f>
        <v/>
      </c>
      <c r="D42" s="302" t="str">
        <f>IF(D8&gt;=28,D41+1,"")</f>
        <v/>
      </c>
      <c r="E42" s="303" t="str">
        <f>IF(D8&gt;=28,E41,"")</f>
        <v/>
      </c>
      <c r="F42" s="302">
        <f t="shared" si="10"/>
        <v>190</v>
      </c>
      <c r="G42" s="302" t="str">
        <f>IF(D8&gt;=28,F42,"")</f>
        <v/>
      </c>
      <c r="H42" s="304" t="str">
        <f>IF(D8&gt;=28,G42*E10/1000,"")</f>
        <v/>
      </c>
      <c r="I42" s="304">
        <f t="shared" si="11"/>
        <v>190</v>
      </c>
      <c r="J42" s="304">
        <f t="shared" si="1"/>
        <v>190</v>
      </c>
      <c r="K42" s="304">
        <f>J42*E10/1000</f>
        <v>190000</v>
      </c>
      <c r="L42" s="304" t="str">
        <f>IF(D8&gt;=28,H42+L41,"")</f>
        <v/>
      </c>
      <c r="M42" s="304" t="str">
        <f>IF(D8&gt;=28,M41+K42,"")</f>
        <v/>
      </c>
      <c r="N42" s="304" t="e">
        <f>IF(Z3-C42&lt;0,0,Z3-C42)</f>
        <v>#VALUE!</v>
      </c>
      <c r="O42" s="304" t="e">
        <f>IF(D8&gt;=20,N42*H62,"")</f>
        <v>#VALUE!</v>
      </c>
      <c r="P42" s="304" t="str">
        <f>IF(E9="FIB",O42,"")</f>
        <v/>
      </c>
      <c r="Q42" s="304" t="str">
        <f t="shared" si="7"/>
        <v/>
      </c>
      <c r="R42" s="304" t="e">
        <f>IF(OR(D9="adb",D9="aib"),M42+X3,M42)</f>
        <v>#VALUE!</v>
      </c>
      <c r="S42" s="304" t="str">
        <f>IF(D8&gt;=28,R42,"")</f>
        <v/>
      </c>
      <c r="T42" s="304" t="str">
        <f>IF(OR(D9="ADB",D9="AIB"),S42,"")</f>
        <v/>
      </c>
      <c r="U42" s="252"/>
    </row>
    <row r="43" spans="2:21" ht="25" customHeight="1" x14ac:dyDescent="0.15">
      <c r="B43" s="251"/>
      <c r="C43" s="292" t="str">
        <f>IF(D8&gt;=29,29,"")</f>
        <v/>
      </c>
      <c r="D43" s="292" t="str">
        <f>IF(D8&gt;=29,D42+1,"")</f>
        <v/>
      </c>
      <c r="E43" s="293" t="str">
        <f>IF(D8&gt;=29,E42,"")</f>
        <v/>
      </c>
      <c r="F43" s="292">
        <f t="shared" si="10"/>
        <v>190</v>
      </c>
      <c r="G43" s="292" t="str">
        <f>IF(D8&gt;=29,F43,"")</f>
        <v/>
      </c>
      <c r="H43" s="294" t="str">
        <f>IF(D8&gt;=29,G43*E10/1000,"")</f>
        <v/>
      </c>
      <c r="I43" s="294">
        <f t="shared" si="11"/>
        <v>190</v>
      </c>
      <c r="J43" s="294">
        <f t="shared" si="1"/>
        <v>190</v>
      </c>
      <c r="K43" s="294">
        <f>J43*E10/1000</f>
        <v>190000</v>
      </c>
      <c r="L43" s="294" t="str">
        <f>IF(D8&gt;=29,H43+L42,"")</f>
        <v/>
      </c>
      <c r="M43" s="294" t="str">
        <f>IF(D8&gt;=29,M42+K43,"")</f>
        <v/>
      </c>
      <c r="N43" s="294" t="e">
        <f>IF(Z3-C43&lt;0,0,Z3-C43)</f>
        <v>#VALUE!</v>
      </c>
      <c r="O43" s="294" t="e">
        <f>IF(D8&gt;=20,N43*H62,"")</f>
        <v>#VALUE!</v>
      </c>
      <c r="P43" s="294" t="str">
        <f>IF(E9="FIB",O43,"")</f>
        <v/>
      </c>
      <c r="Q43" s="294" t="str">
        <f t="shared" si="7"/>
        <v/>
      </c>
      <c r="R43" s="294" t="e">
        <f>IF(OR(D9="adb",D9="aib"),M43+X3,M43)</f>
        <v>#VALUE!</v>
      </c>
      <c r="S43" s="294" t="str">
        <f>IF(D8&gt;=29,R43,"")</f>
        <v/>
      </c>
      <c r="T43" s="294" t="str">
        <f>IF(OR(D9="ADB",D9="AIB"),S43,"")</f>
        <v/>
      </c>
      <c r="U43" s="252"/>
    </row>
    <row r="44" spans="2:21" ht="25" customHeight="1" x14ac:dyDescent="0.15">
      <c r="B44" s="251"/>
      <c r="C44" s="302" t="str">
        <f>IF(D8&gt;=30,30,"")</f>
        <v/>
      </c>
      <c r="D44" s="302" t="str">
        <f>IF(D8&gt;=30,D43+1,"")</f>
        <v/>
      </c>
      <c r="E44" s="303" t="str">
        <f>IF(D8&gt;=30,E43,"")</f>
        <v/>
      </c>
      <c r="F44" s="302">
        <f t="shared" si="10"/>
        <v>190</v>
      </c>
      <c r="G44" s="302" t="str">
        <f>IF(D8&gt;=30,F44,"")</f>
        <v/>
      </c>
      <c r="H44" s="304" t="str">
        <f>IF(D8&gt;=30,G44*E10/1000,"")</f>
        <v/>
      </c>
      <c r="I44" s="304">
        <f t="shared" si="11"/>
        <v>190</v>
      </c>
      <c r="J44" s="304">
        <f t="shared" si="1"/>
        <v>190</v>
      </c>
      <c r="K44" s="304">
        <f>J44*E10/1000</f>
        <v>190000</v>
      </c>
      <c r="L44" s="304" t="str">
        <f>IF(D8&gt;=30,H44+L43,"")</f>
        <v/>
      </c>
      <c r="M44" s="304" t="str">
        <f>IF(D8&gt;=30,M43+K44,"")</f>
        <v/>
      </c>
      <c r="N44" s="304" t="e">
        <f>IF(Z3-C44&lt;0,0,Z3-C44)</f>
        <v>#VALUE!</v>
      </c>
      <c r="O44" s="304" t="e">
        <f>IF(D8&gt;=20,N44*H62,"")</f>
        <v>#VALUE!</v>
      </c>
      <c r="P44" s="304" t="str">
        <f>IF(E9="FIB",O44,"")</f>
        <v/>
      </c>
      <c r="Q44" s="304" t="str">
        <f t="shared" si="7"/>
        <v/>
      </c>
      <c r="R44" s="304" t="e">
        <f>IF(OR(D9="adb",D9="aib"),M44+X3,M44)</f>
        <v>#VALUE!</v>
      </c>
      <c r="S44" s="304" t="str">
        <f>IF(D8&gt;=30,R44,"")</f>
        <v/>
      </c>
      <c r="T44" s="304" t="str">
        <f>IF(OR(D9="ADB",D9="AIB"),S44,"")</f>
        <v/>
      </c>
      <c r="U44" s="252"/>
    </row>
    <row r="45" spans="2:21" ht="25" customHeight="1" x14ac:dyDescent="0.15">
      <c r="B45" s="251"/>
      <c r="C45" s="292" t="str">
        <f>IF(D8&gt;=31,31,"")</f>
        <v/>
      </c>
      <c r="D45" s="292" t="str">
        <f>IF(D8&gt;=31,D44+1,"")</f>
        <v/>
      </c>
      <c r="E45" s="293" t="str">
        <f>IF(D8&gt;=31,E44,"")</f>
        <v/>
      </c>
      <c r="F45" s="292">
        <f t="shared" si="10"/>
        <v>190</v>
      </c>
      <c r="G45" s="292" t="str">
        <f>IF(D8&gt;=31,F45,"")</f>
        <v/>
      </c>
      <c r="H45" s="294" t="str">
        <f>IF(D8&gt;=31,G45*E10/1000,"")</f>
        <v/>
      </c>
      <c r="I45" s="294">
        <f t="shared" si="11"/>
        <v>190</v>
      </c>
      <c r="J45" s="294">
        <f t="shared" si="1"/>
        <v>190</v>
      </c>
      <c r="K45" s="294">
        <f>J45*E10/1000</f>
        <v>190000</v>
      </c>
      <c r="L45" s="294" t="str">
        <f>IF(D8&gt;=31,H45+L44,"")</f>
        <v/>
      </c>
      <c r="M45" s="294" t="str">
        <f>IF(D8&gt;=31,M44+K45,"")</f>
        <v/>
      </c>
      <c r="N45" s="294" t="e">
        <f>IF(Z3-C45&lt;0,0,Z3-C45)</f>
        <v>#VALUE!</v>
      </c>
      <c r="O45" s="294" t="e">
        <f>IF(D8&gt;=20,N45*H62,"")</f>
        <v>#VALUE!</v>
      </c>
      <c r="P45" s="294" t="str">
        <f>IF(E9="FIB",O45,"")</f>
        <v/>
      </c>
      <c r="Q45" s="294" t="str">
        <f t="shared" si="7"/>
        <v/>
      </c>
      <c r="R45" s="294" t="e">
        <f>IF(OR(D9="adb",D9="aib"),M45+X3,M45)</f>
        <v>#VALUE!</v>
      </c>
      <c r="S45" s="294" t="str">
        <f>IF(D8&gt;=31,R45,"")</f>
        <v/>
      </c>
      <c r="T45" s="294" t="str">
        <f>IF(OR(D9="ADB",D9="AIB"),S45,"")</f>
        <v/>
      </c>
      <c r="U45" s="252"/>
    </row>
    <row r="46" spans="2:21" ht="25" customHeight="1" x14ac:dyDescent="0.15">
      <c r="B46" s="251"/>
      <c r="C46" s="302" t="str">
        <f>IF(D8&gt;=32,32,"")</f>
        <v/>
      </c>
      <c r="D46" s="302" t="str">
        <f>IF(D8&gt;=32,D45+1,"")</f>
        <v/>
      </c>
      <c r="E46" s="303" t="str">
        <f>IF(D8&gt;=32,E45,"")</f>
        <v/>
      </c>
      <c r="F46" s="302">
        <f t="shared" si="10"/>
        <v>190</v>
      </c>
      <c r="G46" s="302" t="str">
        <f>IF(D8&gt;=32,F46,"")</f>
        <v/>
      </c>
      <c r="H46" s="304" t="str">
        <f>IF(D8&gt;=32,G46*E10/1000,"")</f>
        <v/>
      </c>
      <c r="I46" s="304">
        <f t="shared" si="11"/>
        <v>190</v>
      </c>
      <c r="J46" s="304">
        <f t="shared" si="1"/>
        <v>190</v>
      </c>
      <c r="K46" s="304">
        <f>J46*E10/1000</f>
        <v>190000</v>
      </c>
      <c r="L46" s="304" t="str">
        <f>IF(D8&gt;=32,H46+L45,"")</f>
        <v/>
      </c>
      <c r="M46" s="304" t="str">
        <f>IF(D8&gt;=32,M45+K46,"")</f>
        <v/>
      </c>
      <c r="N46" s="304" t="e">
        <f>IF(Z3-C46&lt;0,0,Z3-C46)</f>
        <v>#VALUE!</v>
      </c>
      <c r="O46" s="304" t="e">
        <f>IF(D8&gt;=20,N46*H62,"")</f>
        <v>#VALUE!</v>
      </c>
      <c r="P46" s="304" t="str">
        <f>IF(E9="FIB",O46,"")</f>
        <v/>
      </c>
      <c r="Q46" s="304" t="str">
        <f t="shared" si="7"/>
        <v/>
      </c>
      <c r="R46" s="304" t="e">
        <f>IF(OR(D9="adb",D9="aib"),M46+X3,M46)</f>
        <v>#VALUE!</v>
      </c>
      <c r="S46" s="304" t="str">
        <f>IF(D8&gt;=32,R46,"")</f>
        <v/>
      </c>
      <c r="T46" s="304" t="str">
        <f>IF(OR(D9="ADB",D9="AIB"),S46,"")</f>
        <v/>
      </c>
      <c r="U46" s="252"/>
    </row>
    <row r="47" spans="2:21" ht="25" customHeight="1" x14ac:dyDescent="0.15">
      <c r="B47" s="251"/>
      <c r="C47" s="292" t="str">
        <f>IF(D8&gt;=33,33,"")</f>
        <v/>
      </c>
      <c r="D47" s="292" t="str">
        <f>IF(D8&gt;=33,D46+1,"")</f>
        <v/>
      </c>
      <c r="E47" s="293" t="str">
        <f>IF(D8&gt;=33,E46,"")</f>
        <v/>
      </c>
      <c r="F47" s="292">
        <f t="shared" si="10"/>
        <v>190</v>
      </c>
      <c r="G47" s="292" t="str">
        <f>IF(D8&gt;=33,F47,"")</f>
        <v/>
      </c>
      <c r="H47" s="294" t="str">
        <f>IF(D8&gt;=33,G47*E10/1000,"")</f>
        <v/>
      </c>
      <c r="I47" s="294">
        <f t="shared" si="11"/>
        <v>190</v>
      </c>
      <c r="J47" s="294">
        <f t="shared" si="1"/>
        <v>190</v>
      </c>
      <c r="K47" s="294">
        <f>J47*E10/1000</f>
        <v>190000</v>
      </c>
      <c r="L47" s="294" t="str">
        <f>IF(D8&gt;=33,H47+L46,"")</f>
        <v/>
      </c>
      <c r="M47" s="294" t="str">
        <f>IF(D8&gt;=33,M46+K47,"")</f>
        <v/>
      </c>
      <c r="N47" s="294" t="e">
        <f>IF(Z3-C47&lt;0,0,Z3-C47)</f>
        <v>#VALUE!</v>
      </c>
      <c r="O47" s="294" t="e">
        <f>IF(D8&gt;=20,N47*H62,"")</f>
        <v>#VALUE!</v>
      </c>
      <c r="P47" s="294" t="str">
        <f>IF(E9="FIB",O47,"")</f>
        <v/>
      </c>
      <c r="Q47" s="294" t="str">
        <f t="shared" si="7"/>
        <v/>
      </c>
      <c r="R47" s="294" t="e">
        <f>IF(OR(D9="adb",D9="aib"),M47+X3,M47)</f>
        <v>#VALUE!</v>
      </c>
      <c r="S47" s="294" t="str">
        <f>IF(D8&gt;=33,R47,"")</f>
        <v/>
      </c>
      <c r="T47" s="294" t="str">
        <f>IF(OR(D9="ADB",D9="AIB"),S47,"")</f>
        <v/>
      </c>
      <c r="U47" s="252"/>
    </row>
    <row r="48" spans="2:21" ht="25" customHeight="1" x14ac:dyDescent="0.15">
      <c r="B48" s="251"/>
      <c r="C48" s="302" t="str">
        <f>IF(D8&gt;=34,34,"")</f>
        <v/>
      </c>
      <c r="D48" s="302" t="str">
        <f>IF(D8&gt;=34,D47+1,"")</f>
        <v/>
      </c>
      <c r="E48" s="303" t="str">
        <f>IF(D8&gt;=34,E47,"")</f>
        <v/>
      </c>
      <c r="F48" s="302">
        <f t="shared" si="10"/>
        <v>190</v>
      </c>
      <c r="G48" s="302" t="str">
        <f>IF(D8&gt;=34,F48,"")</f>
        <v/>
      </c>
      <c r="H48" s="304" t="str">
        <f>IF(D8&gt;=34,G48*E10/1000,"")</f>
        <v/>
      </c>
      <c r="I48" s="304">
        <f t="shared" si="11"/>
        <v>190</v>
      </c>
      <c r="J48" s="304">
        <f t="shared" si="1"/>
        <v>190</v>
      </c>
      <c r="K48" s="304">
        <f>J48*E10/1000</f>
        <v>190000</v>
      </c>
      <c r="L48" s="304" t="str">
        <f>IF(D8&gt;=34,H48+L47,"")</f>
        <v/>
      </c>
      <c r="M48" s="304" t="str">
        <f>IF(D8&gt;=34,M47+K48,"")</f>
        <v/>
      </c>
      <c r="N48" s="304" t="e">
        <f>IF(Z3-C48&lt;0,0,Z3-C48)</f>
        <v>#VALUE!</v>
      </c>
      <c r="O48" s="304" t="e">
        <f>IF(D8&gt;=20,N48*H62,"")</f>
        <v>#VALUE!</v>
      </c>
      <c r="P48" s="304" t="str">
        <f>IF(E9="FIB",O48,"")</f>
        <v/>
      </c>
      <c r="Q48" s="304" t="str">
        <f t="shared" si="7"/>
        <v/>
      </c>
      <c r="R48" s="304" t="e">
        <f>IF(OR(D9="adb",D9="aib"),M48+X3,M48)</f>
        <v>#VALUE!</v>
      </c>
      <c r="S48" s="304" t="str">
        <f>IF(D8&gt;=34,R48,"")</f>
        <v/>
      </c>
      <c r="T48" s="304" t="str">
        <f>IF(OR(D9="ADB",D9="AIB"),S48,"")</f>
        <v/>
      </c>
      <c r="U48" s="252"/>
    </row>
    <row r="49" spans="2:21" ht="25" customHeight="1" x14ac:dyDescent="0.15">
      <c r="B49" s="251"/>
      <c r="C49" s="292" t="str">
        <f>IF(D8&gt;=35,35,"")</f>
        <v/>
      </c>
      <c r="D49" s="292" t="str">
        <f>IF(D8&gt;=35,D48+1,"")</f>
        <v/>
      </c>
      <c r="E49" s="293" t="str">
        <f>IF(D8&gt;=35,E48,"")</f>
        <v/>
      </c>
      <c r="F49" s="292">
        <f t="shared" si="10"/>
        <v>190</v>
      </c>
      <c r="G49" s="292" t="str">
        <f>IF(D8&gt;=35,F49,"")</f>
        <v/>
      </c>
      <c r="H49" s="294" t="str">
        <f>IF(D8&gt;=35,G49*E10/1000,"")</f>
        <v/>
      </c>
      <c r="I49" s="294">
        <f t="shared" si="11"/>
        <v>190</v>
      </c>
      <c r="J49" s="294">
        <f t="shared" si="1"/>
        <v>190</v>
      </c>
      <c r="K49" s="294">
        <f>J49*E10/1000</f>
        <v>190000</v>
      </c>
      <c r="L49" s="294" t="str">
        <f>IF(D8&gt;=35,H49+L48,"")</f>
        <v/>
      </c>
      <c r="M49" s="294" t="str">
        <f>IF(D8&gt;=35,M48+K49,"")</f>
        <v/>
      </c>
      <c r="N49" s="294" t="e">
        <f>IF(Z3-C49&lt;0,0,Z3-C49)</f>
        <v>#VALUE!</v>
      </c>
      <c r="O49" s="294" t="e">
        <f>IF(D8&gt;=20,N49*H62,"")</f>
        <v>#VALUE!</v>
      </c>
      <c r="P49" s="294" t="str">
        <f>IF(E9="FIB",O49,"")</f>
        <v/>
      </c>
      <c r="Q49" s="294" t="str">
        <f t="shared" si="7"/>
        <v/>
      </c>
      <c r="R49" s="294" t="e">
        <f>IF(OR(D9="adb",D9="aib"),M49+X3,M49)</f>
        <v>#VALUE!</v>
      </c>
      <c r="S49" s="294" t="str">
        <f>IF(D8&gt;=35,R49,"")</f>
        <v/>
      </c>
      <c r="T49" s="294" t="str">
        <f>IF(OR(D9="ADB",D9="AIB"),S49,"")</f>
        <v/>
      </c>
      <c r="U49" s="252"/>
    </row>
    <row r="50" spans="2:21" ht="25" customHeight="1" x14ac:dyDescent="0.15">
      <c r="B50" s="251"/>
      <c r="C50" s="302" t="str">
        <f>IF(D8&gt;=36,36,"")</f>
        <v/>
      </c>
      <c r="D50" s="302" t="str">
        <f>IF(D8&gt;=36,D49+1,"")</f>
        <v/>
      </c>
      <c r="E50" s="303" t="str">
        <f>IF(D8&gt;=36,E49,"")</f>
        <v/>
      </c>
      <c r="F50" s="302">
        <f t="shared" si="10"/>
        <v>190</v>
      </c>
      <c r="G50" s="302" t="str">
        <f>IF(D8&gt;=36,F50,"")</f>
        <v/>
      </c>
      <c r="H50" s="304" t="str">
        <f>IF(D8&gt;=36,G50*E10/1000,"")</f>
        <v/>
      </c>
      <c r="I50" s="304">
        <f t="shared" si="11"/>
        <v>190</v>
      </c>
      <c r="J50" s="304">
        <f t="shared" si="1"/>
        <v>190</v>
      </c>
      <c r="K50" s="304">
        <f>J50*E10/1000</f>
        <v>190000</v>
      </c>
      <c r="L50" s="304" t="str">
        <f>IF(D8&gt;=36,H50+L49,"")</f>
        <v/>
      </c>
      <c r="M50" s="304" t="str">
        <f>IF(D8&gt;=36,M49+K50,"")</f>
        <v/>
      </c>
      <c r="N50" s="304" t="e">
        <f>IF(Z3-C50&lt;0,0,Z3-C50)</f>
        <v>#VALUE!</v>
      </c>
      <c r="O50" s="304" t="e">
        <f>IF(D8&gt;=20,N50*H62,"")</f>
        <v>#VALUE!</v>
      </c>
      <c r="P50" s="304" t="str">
        <f>IF(E9="FIB",O50,"")</f>
        <v/>
      </c>
      <c r="Q50" s="304" t="str">
        <f t="shared" si="7"/>
        <v/>
      </c>
      <c r="R50" s="304" t="e">
        <f>IF(OR(D9="adb",D9="aib"),M50+X3,M50)</f>
        <v>#VALUE!</v>
      </c>
      <c r="S50" s="304" t="str">
        <f>IF(D8&gt;=36,R50,"")</f>
        <v/>
      </c>
      <c r="T50" s="304" t="str">
        <f>IF(OR(D9="ADB",D9="AIB"),S50,"")</f>
        <v/>
      </c>
      <c r="U50" s="252"/>
    </row>
    <row r="51" spans="2:21" ht="25" customHeight="1" x14ac:dyDescent="0.15">
      <c r="B51" s="251"/>
      <c r="C51" s="292" t="str">
        <f>IF(D8&gt;=37,37,"")</f>
        <v/>
      </c>
      <c r="D51" s="292" t="str">
        <f>IF(D8&gt;=37,D50+1,"")</f>
        <v/>
      </c>
      <c r="E51" s="293" t="str">
        <f>IF(D8&gt;=37,E50,"")</f>
        <v/>
      </c>
      <c r="F51" s="292">
        <f t="shared" si="10"/>
        <v>190</v>
      </c>
      <c r="G51" s="292" t="str">
        <f>IF(D8&gt;=37,F51,"")</f>
        <v/>
      </c>
      <c r="H51" s="294" t="str">
        <f>IF(D8&gt;=37,G51*E10/1000,"")</f>
        <v/>
      </c>
      <c r="I51" s="294">
        <f t="shared" si="11"/>
        <v>190</v>
      </c>
      <c r="J51" s="294">
        <f t="shared" si="1"/>
        <v>190</v>
      </c>
      <c r="K51" s="294">
        <f>J51*E10/1000</f>
        <v>190000</v>
      </c>
      <c r="L51" s="294" t="str">
        <f>IF(D8&gt;=37,H51+L50,"")</f>
        <v/>
      </c>
      <c r="M51" s="294" t="str">
        <f>IF(D8&gt;=37,M50+K51,"")</f>
        <v/>
      </c>
      <c r="N51" s="294" t="e">
        <f>IF(Z3-C51&lt;0,0,Z3-C51)</f>
        <v>#VALUE!</v>
      </c>
      <c r="O51" s="294" t="e">
        <f>IF(D8&gt;=20,N51*H62,"")</f>
        <v>#VALUE!</v>
      </c>
      <c r="P51" s="294" t="str">
        <f>IF(E9="FIB",O51,"")</f>
        <v/>
      </c>
      <c r="Q51" s="294" t="str">
        <f t="shared" si="7"/>
        <v/>
      </c>
      <c r="R51" s="294" t="e">
        <f>IF(OR(D9="adb",D9="aib"),M51+X3,M51)</f>
        <v>#VALUE!</v>
      </c>
      <c r="S51" s="294" t="str">
        <f>IF(D8&gt;=37,R51,"")</f>
        <v/>
      </c>
      <c r="T51" s="294" t="str">
        <f>IF(OR(D9="ADB",D9="AIB"),S51,"")</f>
        <v/>
      </c>
      <c r="U51" s="252"/>
    </row>
    <row r="52" spans="2:21" ht="25" customHeight="1" x14ac:dyDescent="0.15">
      <c r="B52" s="251"/>
      <c r="C52" s="302" t="str">
        <f>IF(D8&gt;=38,38,"")</f>
        <v/>
      </c>
      <c r="D52" s="302" t="str">
        <f>IF(D8&gt;=38,D51+1,"")</f>
        <v/>
      </c>
      <c r="E52" s="303" t="str">
        <f>IF(D8&gt;=38,E51,"")</f>
        <v/>
      </c>
      <c r="F52" s="302">
        <f t="shared" si="10"/>
        <v>190</v>
      </c>
      <c r="G52" s="302" t="str">
        <f>IF(D8&gt;=38,F52,"")</f>
        <v/>
      </c>
      <c r="H52" s="304" t="str">
        <f>IF(D8&gt;=38,G52*E10/1000,"")</f>
        <v/>
      </c>
      <c r="I52" s="304">
        <f t="shared" si="11"/>
        <v>190</v>
      </c>
      <c r="J52" s="304">
        <f t="shared" si="1"/>
        <v>190</v>
      </c>
      <c r="K52" s="304">
        <f>J52*E10/1000</f>
        <v>190000</v>
      </c>
      <c r="L52" s="304" t="str">
        <f>IF(D8&gt;=38,H52+L51,"")</f>
        <v/>
      </c>
      <c r="M52" s="304" t="str">
        <f>IF(D8&gt;=38,M51+K52,"")</f>
        <v/>
      </c>
      <c r="N52" s="304" t="e">
        <f>IF(Z3-C52&lt;0,0,Z3-C52)</f>
        <v>#VALUE!</v>
      </c>
      <c r="O52" s="304" t="e">
        <f>IF(D8&gt;=20,N52*H62,"")</f>
        <v>#VALUE!</v>
      </c>
      <c r="P52" s="304" t="str">
        <f>IF(E9="FIB",O52,"")</f>
        <v/>
      </c>
      <c r="Q52" s="304" t="str">
        <f t="shared" si="7"/>
        <v/>
      </c>
      <c r="R52" s="304" t="e">
        <f>IF(OR(D9="adb",D9="aib"),M52+X3,M52)</f>
        <v>#VALUE!</v>
      </c>
      <c r="S52" s="304" t="str">
        <f>IF(D8&gt;=38,R52,"")</f>
        <v/>
      </c>
      <c r="T52" s="304" t="str">
        <f>IF(OR(D9="ADB",D9="AIB"),S52,"")</f>
        <v/>
      </c>
      <c r="U52" s="252"/>
    </row>
    <row r="53" spans="2:21" ht="25" customHeight="1" x14ac:dyDescent="0.15">
      <c r="B53" s="251"/>
      <c r="C53" s="292" t="str">
        <f>IF(D8&gt;=39,39,"")</f>
        <v/>
      </c>
      <c r="D53" s="292" t="str">
        <f>IF(D8&gt;=39,D52+1,"")</f>
        <v/>
      </c>
      <c r="E53" s="293" t="str">
        <f>IF(D8&gt;=39,E52,"")</f>
        <v/>
      </c>
      <c r="F53" s="292">
        <f t="shared" si="10"/>
        <v>190</v>
      </c>
      <c r="G53" s="292" t="str">
        <f>IF(D8&gt;=39,F53,"")</f>
        <v/>
      </c>
      <c r="H53" s="294" t="str">
        <f>IF(D8&gt;=39,G53*E10/1000,"")</f>
        <v/>
      </c>
      <c r="I53" s="294">
        <f t="shared" si="11"/>
        <v>190</v>
      </c>
      <c r="J53" s="294">
        <f t="shared" si="1"/>
        <v>190</v>
      </c>
      <c r="K53" s="294">
        <f>J53*E10/1000</f>
        <v>190000</v>
      </c>
      <c r="L53" s="294" t="str">
        <f>IF(D8&gt;=39,H53+L52,"")</f>
        <v/>
      </c>
      <c r="M53" s="294" t="str">
        <f>IF(D8&gt;=39,M52+K53,"")</f>
        <v/>
      </c>
      <c r="N53" s="294" t="e">
        <f>IF(Z3-C53&lt;0,0,Z3-C53)</f>
        <v>#VALUE!</v>
      </c>
      <c r="O53" s="294" t="e">
        <f>IF(D8&gt;=20,N53*H62,"")</f>
        <v>#VALUE!</v>
      </c>
      <c r="P53" s="294" t="str">
        <f>IF(E9="FIB",O53,"")</f>
        <v/>
      </c>
      <c r="Q53" s="294" t="str">
        <f t="shared" si="7"/>
        <v/>
      </c>
      <c r="R53" s="294" t="e">
        <f>IF(OR(D9="adb",D9="aib"),M53+X3,M53)</f>
        <v>#VALUE!</v>
      </c>
      <c r="S53" s="294" t="str">
        <f>IF(D8&gt;=39,R53,"")</f>
        <v/>
      </c>
      <c r="T53" s="294" t="str">
        <f>IF(OR(D9="ADB",D9="AIB"),S53,"")</f>
        <v/>
      </c>
      <c r="U53" s="252"/>
    </row>
    <row r="54" spans="2:21" ht="25" customHeight="1" x14ac:dyDescent="0.15">
      <c r="B54" s="251"/>
      <c r="C54" s="302" t="str">
        <f>IF(D8&gt;=40,40,"")</f>
        <v/>
      </c>
      <c r="D54" s="302" t="str">
        <f>IF(D8&gt;=40,D53+1,"")</f>
        <v/>
      </c>
      <c r="E54" s="303" t="str">
        <f>IF(D8&gt;=40,E53,"")</f>
        <v/>
      </c>
      <c r="F54" s="302">
        <f t="shared" si="10"/>
        <v>190</v>
      </c>
      <c r="G54" s="302" t="str">
        <f>IF(D8&gt;=40,F54,"")</f>
        <v/>
      </c>
      <c r="H54" s="304" t="str">
        <f>IF(D8&gt;=40,G54*E10/1000,"")</f>
        <v/>
      </c>
      <c r="I54" s="304">
        <f t="shared" si="11"/>
        <v>190</v>
      </c>
      <c r="J54" s="304">
        <f t="shared" si="1"/>
        <v>190</v>
      </c>
      <c r="K54" s="304">
        <f>J54*E10/1000</f>
        <v>190000</v>
      </c>
      <c r="L54" s="304" t="str">
        <f>IF(D8&gt;=40,H54+L53,"")</f>
        <v/>
      </c>
      <c r="M54" s="304" t="str">
        <f>IF(D8&gt;=40,M53+K54,"")</f>
        <v/>
      </c>
      <c r="N54" s="304" t="e">
        <f>IF(Z3-C54&lt;0,0,Z3-C54)</f>
        <v>#VALUE!</v>
      </c>
      <c r="O54" s="304" t="e">
        <f>IF(D8&gt;=20,N54*H62,"")</f>
        <v>#VALUE!</v>
      </c>
      <c r="P54" s="304" t="str">
        <f>IF(E9="FIB",O54,"")</f>
        <v/>
      </c>
      <c r="Q54" s="304" t="str">
        <f t="shared" si="7"/>
        <v/>
      </c>
      <c r="R54" s="304" t="e">
        <f>IF(OR(D9="adb",D9="aib"),M54+X3,M54)</f>
        <v>#VALUE!</v>
      </c>
      <c r="S54" s="304" t="str">
        <f>IF(D8&gt;=40,R54,"")</f>
        <v/>
      </c>
      <c r="T54" s="304" t="str">
        <f>IF(OR(D9="ADB",D9="AIB"),S54,"")</f>
        <v/>
      </c>
      <c r="U54" s="252"/>
    </row>
    <row r="55" spans="2:21" ht="25" customHeight="1" x14ac:dyDescent="0.15">
      <c r="B55" s="251"/>
      <c r="C55" s="292" t="str">
        <f>IF(D8&gt;=41,41,"")</f>
        <v/>
      </c>
      <c r="D55" s="292" t="str">
        <f>IF(D8&gt;=41,D54+1,"")</f>
        <v/>
      </c>
      <c r="E55" s="293" t="str">
        <f>IF(D8&gt;=41,E54,"")</f>
        <v/>
      </c>
      <c r="F55" s="292">
        <f t="shared" si="10"/>
        <v>190</v>
      </c>
      <c r="G55" s="292" t="str">
        <f>IF(D8&gt;=41,F55,"")</f>
        <v/>
      </c>
      <c r="H55" s="294" t="str">
        <f>IF(D8&gt;=41,G55*E10/1000,"")</f>
        <v/>
      </c>
      <c r="I55" s="294">
        <f t="shared" si="11"/>
        <v>190</v>
      </c>
      <c r="J55" s="294">
        <f t="shared" si="1"/>
        <v>190</v>
      </c>
      <c r="K55" s="294">
        <f>J55*E10/1000</f>
        <v>190000</v>
      </c>
      <c r="L55" s="294" t="str">
        <f>IF(D8&gt;=41,H55+L54,"")</f>
        <v/>
      </c>
      <c r="M55" s="294" t="str">
        <f>IF(D8&gt;=41,M54+K55,"")</f>
        <v/>
      </c>
      <c r="N55" s="294" t="e">
        <f>IF(Z3-C55&lt;0,0,Z3-C55)</f>
        <v>#VALUE!</v>
      </c>
      <c r="O55" s="294" t="e">
        <f>IF(D8&gt;=20,N55*H62,"")</f>
        <v>#VALUE!</v>
      </c>
      <c r="P55" s="294" t="str">
        <f>IF(E9="FIB",O55,"")</f>
        <v/>
      </c>
      <c r="Q55" s="294" t="str">
        <f t="shared" si="7"/>
        <v/>
      </c>
      <c r="R55" s="294" t="e">
        <f>IF(OR(D9="adb",D9="aib"),M55+X3,M55)</f>
        <v>#VALUE!</v>
      </c>
      <c r="S55" s="294" t="str">
        <f>IF(D8&gt;=41,R55,"")</f>
        <v/>
      </c>
      <c r="T55" s="294" t="str">
        <f>IF(OR(D9="ADB",D9="AIB"),S55,"")</f>
        <v/>
      </c>
      <c r="U55" s="252"/>
    </row>
    <row r="56" spans="2:21" ht="25" customHeight="1" x14ac:dyDescent="0.15">
      <c r="B56" s="251"/>
      <c r="C56" s="302" t="str">
        <f>IF(D8&gt;=42,42,"")</f>
        <v/>
      </c>
      <c r="D56" s="302" t="str">
        <f>IF(D8&gt;=42,D55+1,"")</f>
        <v/>
      </c>
      <c r="E56" s="303" t="str">
        <f>IF(D8&gt;=42,E55,"")</f>
        <v/>
      </c>
      <c r="F56" s="302">
        <f t="shared" si="10"/>
        <v>190</v>
      </c>
      <c r="G56" s="302" t="str">
        <f>IF(D8&gt;=42,F56,"")</f>
        <v/>
      </c>
      <c r="H56" s="304" t="str">
        <f>IF(D8&gt;=42,G56*E10/1000,"")</f>
        <v/>
      </c>
      <c r="I56" s="304">
        <f t="shared" si="11"/>
        <v>190</v>
      </c>
      <c r="J56" s="304">
        <f t="shared" si="1"/>
        <v>190</v>
      </c>
      <c r="K56" s="304">
        <f>J56*E10/1000</f>
        <v>190000</v>
      </c>
      <c r="L56" s="304" t="str">
        <f>IF(D8&gt;=42,H56+L55,"")</f>
        <v/>
      </c>
      <c r="M56" s="304" t="str">
        <f>IF(D8&gt;=42,M55+K56,"")</f>
        <v/>
      </c>
      <c r="N56" s="304" t="e">
        <f>IF(Z3-C56&lt;0,0,Z3-C56)</f>
        <v>#VALUE!</v>
      </c>
      <c r="O56" s="304" t="e">
        <f>IF(D8&gt;=20,N56*H62,"")</f>
        <v>#VALUE!</v>
      </c>
      <c r="P56" s="304" t="str">
        <f>IF(E9="FIB",O56,"")</f>
        <v/>
      </c>
      <c r="Q56" s="304" t="str">
        <f t="shared" si="7"/>
        <v/>
      </c>
      <c r="R56" s="304" t="e">
        <f>IF(OR(D9="adb",D9="aib"),M56+X3,M56)</f>
        <v>#VALUE!</v>
      </c>
      <c r="S56" s="304" t="str">
        <f>IF(D8&gt;=42,R56,"")</f>
        <v/>
      </c>
      <c r="T56" s="304" t="str">
        <f>IF(OR(D9="ADB",D9="AIB"),S56,"")</f>
        <v/>
      </c>
      <c r="U56" s="252"/>
    </row>
    <row r="57" spans="2:21" ht="25" customHeight="1" x14ac:dyDescent="0.15">
      <c r="B57" s="251"/>
      <c r="C57" s="292" t="str">
        <f>IF(D8&gt;=43,43,"")</f>
        <v/>
      </c>
      <c r="D57" s="292" t="str">
        <f>IF(D8&gt;=43,D56+1,"")</f>
        <v/>
      </c>
      <c r="E57" s="293" t="str">
        <f>IF(D8&gt;=43,E56,"")</f>
        <v/>
      </c>
      <c r="F57" s="292">
        <f t="shared" si="10"/>
        <v>190</v>
      </c>
      <c r="G57" s="292" t="str">
        <f>IF(D8&gt;=43,F57,"")</f>
        <v/>
      </c>
      <c r="H57" s="294" t="str">
        <f>IF(D8&gt;=43,G57*E10/1000,"")</f>
        <v/>
      </c>
      <c r="I57" s="294">
        <f t="shared" si="11"/>
        <v>190</v>
      </c>
      <c r="J57" s="294">
        <f t="shared" si="1"/>
        <v>190</v>
      </c>
      <c r="K57" s="294">
        <f>J57*E10/1000</f>
        <v>190000</v>
      </c>
      <c r="L57" s="294" t="str">
        <f>IF(D8&gt;=43,H57+L56,"")</f>
        <v/>
      </c>
      <c r="M57" s="294" t="str">
        <f>IF(D8&gt;=43,M56+K57,"")</f>
        <v/>
      </c>
      <c r="N57" s="294" t="e">
        <f>IF(Z3-C57&lt;0,0,Z3-C57)</f>
        <v>#VALUE!</v>
      </c>
      <c r="O57" s="294" t="e">
        <f>IF(D8&gt;=20,N57*H62,"")</f>
        <v>#VALUE!</v>
      </c>
      <c r="P57" s="294" t="str">
        <f>IF(E9="FIB",O57,"")</f>
        <v/>
      </c>
      <c r="Q57" s="294" t="str">
        <f t="shared" si="7"/>
        <v/>
      </c>
      <c r="R57" s="294" t="e">
        <f>IF(OR(D9="adb",D9="aib"),M57+X3,M57)</f>
        <v>#VALUE!</v>
      </c>
      <c r="S57" s="294" t="str">
        <f>IF(D8&gt;=43,R57,"")</f>
        <v/>
      </c>
      <c r="T57" s="294" t="str">
        <f>IF(OR(D9="ADB",D9="AIB"),S57,"")</f>
        <v/>
      </c>
      <c r="U57" s="252"/>
    </row>
    <row r="58" spans="2:21" ht="25" customHeight="1" x14ac:dyDescent="0.15">
      <c r="B58" s="251"/>
      <c r="C58" s="302" t="str">
        <f>IF(D8&gt;=44,44,"")</f>
        <v/>
      </c>
      <c r="D58" s="302" t="str">
        <f>IF(D8&gt;=44,D57+1,"")</f>
        <v/>
      </c>
      <c r="E58" s="303" t="str">
        <f>IF(D8&gt;=44,E57,"")</f>
        <v/>
      </c>
      <c r="F58" s="302">
        <f t="shared" si="10"/>
        <v>190</v>
      </c>
      <c r="G58" s="302" t="str">
        <f>IF(D8&gt;=44,F58,"")</f>
        <v/>
      </c>
      <c r="H58" s="304" t="str">
        <f>IF(D8&gt;=44,G58*E10/1000,"")</f>
        <v/>
      </c>
      <c r="I58" s="304">
        <f t="shared" si="11"/>
        <v>190</v>
      </c>
      <c r="J58" s="304">
        <f t="shared" si="1"/>
        <v>190</v>
      </c>
      <c r="K58" s="304">
        <f>J58*E10/1000</f>
        <v>190000</v>
      </c>
      <c r="L58" s="304" t="str">
        <f>IF(D8&gt;=44,H58+L57,"")</f>
        <v/>
      </c>
      <c r="M58" s="304" t="str">
        <f>IF(D8&gt;=44,M57+K58,"")</f>
        <v/>
      </c>
      <c r="N58" s="304" t="e">
        <f>IF(Z3-C58&lt;0,0,Z3-C58)</f>
        <v>#VALUE!</v>
      </c>
      <c r="O58" s="304" t="e">
        <f>IF(D8&gt;=20,N58*H62,"")</f>
        <v>#VALUE!</v>
      </c>
      <c r="P58" s="304" t="str">
        <f>IF(E9="FIB",O58,"")</f>
        <v/>
      </c>
      <c r="Q58" s="304" t="str">
        <f t="shared" si="7"/>
        <v/>
      </c>
      <c r="R58" s="304" t="e">
        <f>IF(OR(D9="adb",D9="aib"),M58+X3,M58)</f>
        <v>#VALUE!</v>
      </c>
      <c r="S58" s="304" t="str">
        <f>IF(D8&gt;=44,R58,"")</f>
        <v/>
      </c>
      <c r="T58" s="304" t="str">
        <f>IF(OR(D9="ADB",D9="AIB"),S58,"")</f>
        <v/>
      </c>
      <c r="U58" s="252"/>
    </row>
    <row r="59" spans="2:21" ht="25" customHeight="1" x14ac:dyDescent="0.15">
      <c r="B59" s="251"/>
      <c r="C59" s="292" t="str">
        <f>IF(D8&gt;=45,45,"")</f>
        <v/>
      </c>
      <c r="D59" s="292" t="str">
        <f>IF(D8&gt;=45,D58+1,"")</f>
        <v/>
      </c>
      <c r="E59" s="293" t="str">
        <f>IF(D8&gt;=45,E58,"")</f>
        <v/>
      </c>
      <c r="F59" s="292">
        <f t="shared" si="10"/>
        <v>190</v>
      </c>
      <c r="G59" s="292" t="str">
        <f>IF(D8&gt;=45,F59,"")</f>
        <v/>
      </c>
      <c r="H59" s="294" t="str">
        <f>IF(D8&gt;=45,G59*E10/1000,"")</f>
        <v/>
      </c>
      <c r="I59" s="294">
        <f t="shared" si="11"/>
        <v>190</v>
      </c>
      <c r="J59" s="294">
        <f t="shared" si="1"/>
        <v>190</v>
      </c>
      <c r="K59" s="294">
        <f>J59*E10/1000</f>
        <v>190000</v>
      </c>
      <c r="L59" s="294" t="str">
        <f>IF(D8&gt;=45,H59+L58,"")</f>
        <v/>
      </c>
      <c r="M59" s="294" t="str">
        <f>IF(D8&gt;=45,M58+K59,"")</f>
        <v/>
      </c>
      <c r="N59" s="294" t="e">
        <f>IF(Z3-C59&lt;0,0,Z3-C59)</f>
        <v>#VALUE!</v>
      </c>
      <c r="O59" s="294" t="e">
        <f>IF(D8&gt;=20,N59*H62,"")</f>
        <v>#VALUE!</v>
      </c>
      <c r="P59" s="294" t="str">
        <f>IF(E9="FIB",O59,"")</f>
        <v/>
      </c>
      <c r="Q59" s="294" t="str">
        <f t="shared" si="7"/>
        <v/>
      </c>
      <c r="R59" s="294" t="e">
        <f>IF(OR(D9="adb",D9="aib"),M59+X3,M59)</f>
        <v>#VALUE!</v>
      </c>
      <c r="S59" s="294" t="str">
        <f>IF(D8&gt;=45,R59,"")</f>
        <v/>
      </c>
      <c r="T59" s="294" t="str">
        <f>IF(OR(D9="ADB",D9="AIB"),S59,"")</f>
        <v/>
      </c>
      <c r="U59" s="252"/>
    </row>
    <row r="60" spans="2:21" ht="23.25" customHeight="1" x14ac:dyDescent="0.15">
      <c r="B60" s="251"/>
      <c r="C60" s="304"/>
      <c r="D60" s="304"/>
      <c r="E60" s="304"/>
      <c r="F60" s="304"/>
      <c r="G60" s="304"/>
      <c r="H60" s="304"/>
      <c r="I60" s="304"/>
      <c r="J60" s="304"/>
      <c r="K60" s="304"/>
      <c r="L60" s="304"/>
      <c r="M60" s="304"/>
      <c r="N60" s="304"/>
      <c r="O60" s="304"/>
      <c r="P60" s="304"/>
      <c r="Q60" s="304"/>
      <c r="R60" s="304"/>
      <c r="S60" s="304"/>
      <c r="T60" s="304"/>
      <c r="U60" s="252"/>
    </row>
    <row r="61" spans="2:21" x14ac:dyDescent="0.15">
      <c r="B61" s="251"/>
      <c r="C61" s="291"/>
      <c r="D61" s="291"/>
      <c r="E61" s="291"/>
      <c r="F61" s="291"/>
      <c r="G61" s="291"/>
      <c r="H61" s="291"/>
      <c r="I61" s="291"/>
      <c r="J61" s="291"/>
      <c r="K61" s="291"/>
      <c r="L61" s="291"/>
      <c r="M61" s="291"/>
      <c r="N61" s="291"/>
      <c r="O61" s="291"/>
      <c r="P61" s="291"/>
      <c r="Q61" s="291"/>
      <c r="R61" s="291"/>
      <c r="S61" s="291"/>
      <c r="T61" s="291"/>
      <c r="U61" s="252"/>
    </row>
    <row r="62" spans="2:21" ht="21" x14ac:dyDescent="0.25">
      <c r="B62" s="251"/>
      <c r="C62" s="312" t="s">
        <v>358</v>
      </c>
      <c r="D62" s="313" t="str">
        <f>IF(E9="FIB",APCS!D10,"")</f>
        <v/>
      </c>
      <c r="E62" s="313" t="s">
        <v>418</v>
      </c>
      <c r="F62" s="313"/>
      <c r="G62" s="313"/>
      <c r="H62" s="435" t="str">
        <f>IF(E9="FIB",E10*D62/100,"")</f>
        <v/>
      </c>
      <c r="I62" s="435"/>
      <c r="J62" s="435"/>
      <c r="K62" s="435"/>
      <c r="L62" s="435"/>
      <c r="M62" s="314" t="s">
        <v>419</v>
      </c>
      <c r="N62" s="315"/>
      <c r="O62" s="314"/>
      <c r="P62" s="314"/>
      <c r="Q62" s="314"/>
      <c r="R62" s="316"/>
      <c r="S62" s="316"/>
      <c r="T62" s="317"/>
      <c r="U62" s="252"/>
    </row>
    <row r="63" spans="2:21" ht="18" x14ac:dyDescent="0.2">
      <c r="B63" s="251"/>
      <c r="C63" s="318"/>
      <c r="D63" s="319" t="s">
        <v>420</v>
      </c>
      <c r="E63" s="319"/>
      <c r="F63" s="319"/>
      <c r="G63" s="319"/>
      <c r="H63" s="319"/>
      <c r="I63" s="319"/>
      <c r="J63" s="319"/>
      <c r="K63" s="319"/>
      <c r="L63" s="319"/>
      <c r="M63" s="319"/>
      <c r="N63" s="319"/>
      <c r="O63" s="320"/>
      <c r="P63" s="320"/>
      <c r="Q63" s="320"/>
      <c r="R63" s="320"/>
      <c r="S63" s="320"/>
      <c r="T63" s="321"/>
      <c r="U63" s="252"/>
    </row>
    <row r="64" spans="2:21" x14ac:dyDescent="0.15">
      <c r="B64" s="251"/>
      <c r="C64" s="291"/>
      <c r="D64" s="291"/>
      <c r="E64" s="291" t="s">
        <v>357</v>
      </c>
      <c r="F64" s="291"/>
      <c r="G64" s="291"/>
      <c r="H64" s="291"/>
      <c r="I64" s="291"/>
      <c r="J64" s="291"/>
      <c r="K64" s="291"/>
      <c r="L64" s="291"/>
      <c r="M64" s="291"/>
      <c r="N64" s="291"/>
      <c r="O64" s="291"/>
      <c r="P64" s="291"/>
      <c r="Q64" s="291"/>
      <c r="R64" s="291"/>
      <c r="S64" s="291"/>
      <c r="T64" s="291"/>
      <c r="U64" s="252"/>
    </row>
    <row r="65" spans="2:21" x14ac:dyDescent="0.15">
      <c r="B65" s="251"/>
      <c r="C65" s="291"/>
      <c r="D65" s="291"/>
      <c r="E65" s="291"/>
      <c r="F65" s="291"/>
      <c r="G65" s="291"/>
      <c r="H65" s="291"/>
      <c r="I65" s="291"/>
      <c r="J65" s="291"/>
      <c r="K65" s="291"/>
      <c r="L65" s="291"/>
      <c r="M65" s="291"/>
      <c r="N65" s="291"/>
      <c r="O65" s="291"/>
      <c r="P65" s="291"/>
      <c r="Q65" s="291"/>
      <c r="R65" s="291"/>
      <c r="S65" s="291"/>
      <c r="T65" s="291"/>
      <c r="U65" s="252"/>
    </row>
    <row r="66" spans="2:21" x14ac:dyDescent="0.15">
      <c r="B66" s="251"/>
      <c r="C66" s="291"/>
      <c r="D66" s="291"/>
      <c r="E66" s="291"/>
      <c r="F66" s="291"/>
      <c r="G66" s="291"/>
      <c r="H66" s="291"/>
      <c r="I66" s="291"/>
      <c r="J66" s="291"/>
      <c r="K66" s="291"/>
      <c r="L66" s="291"/>
      <c r="M66" s="291"/>
      <c r="N66" s="291"/>
      <c r="O66" s="291"/>
      <c r="P66" s="291"/>
      <c r="Q66" s="291"/>
      <c r="R66" s="291"/>
      <c r="S66" s="291"/>
      <c r="T66" s="291"/>
      <c r="U66" s="252"/>
    </row>
    <row r="67" spans="2:21" x14ac:dyDescent="0.15">
      <c r="B67" s="251"/>
      <c r="C67" s="291"/>
      <c r="D67" s="291"/>
      <c r="E67" s="291"/>
      <c r="F67" s="291"/>
      <c r="G67" s="291"/>
      <c r="H67" s="291"/>
      <c r="I67" s="291"/>
      <c r="J67" s="291"/>
      <c r="K67" s="291"/>
      <c r="L67" s="291"/>
      <c r="M67" s="291"/>
      <c r="N67" s="291"/>
      <c r="O67" s="291"/>
      <c r="P67" s="291"/>
      <c r="Q67" s="291"/>
      <c r="R67" s="291"/>
      <c r="S67" s="291"/>
      <c r="T67" s="291"/>
      <c r="U67" s="252"/>
    </row>
    <row r="68" spans="2:21" x14ac:dyDescent="0.15">
      <c r="B68" s="251"/>
      <c r="C68" s="291"/>
      <c r="D68" s="291"/>
      <c r="E68" s="291"/>
      <c r="F68" s="291"/>
      <c r="G68" s="291"/>
      <c r="H68" s="291"/>
      <c r="I68" s="291"/>
      <c r="J68" s="291"/>
      <c r="K68" s="291"/>
      <c r="L68" s="291"/>
      <c r="M68" s="291"/>
      <c r="N68" s="291"/>
      <c r="O68" s="291"/>
      <c r="P68" s="291"/>
      <c r="Q68" s="291"/>
      <c r="R68" s="291"/>
      <c r="S68" s="291"/>
      <c r="T68" s="291"/>
      <c r="U68" s="252"/>
    </row>
    <row r="69" spans="2:21" ht="18" x14ac:dyDescent="0.2">
      <c r="B69" s="251"/>
      <c r="C69" s="426" t="s">
        <v>359</v>
      </c>
      <c r="D69" s="426"/>
      <c r="E69" s="426"/>
      <c r="F69" s="426"/>
      <c r="G69" s="426"/>
      <c r="H69" s="426"/>
      <c r="I69" s="426"/>
      <c r="J69" s="426"/>
      <c r="K69" s="426"/>
      <c r="L69" s="426"/>
      <c r="M69" s="426"/>
      <c r="N69" s="426"/>
      <c r="O69" s="426"/>
      <c r="P69" s="426"/>
      <c r="Q69" s="426"/>
      <c r="R69" s="426"/>
      <c r="S69" s="426"/>
      <c r="T69" s="426"/>
      <c r="U69" s="252"/>
    </row>
    <row r="70" spans="2:21" ht="24" thickBot="1" x14ac:dyDescent="0.3">
      <c r="B70" s="253"/>
      <c r="C70" s="425" t="s">
        <v>360</v>
      </c>
      <c r="D70" s="425"/>
      <c r="E70" s="425"/>
      <c r="F70" s="425"/>
      <c r="G70" s="425"/>
      <c r="H70" s="425"/>
      <c r="I70" s="425"/>
      <c r="J70" s="425"/>
      <c r="K70" s="425"/>
      <c r="L70" s="425"/>
      <c r="M70" s="425"/>
      <c r="N70" s="425"/>
      <c r="O70" s="425"/>
      <c r="P70" s="425"/>
      <c r="Q70" s="425"/>
      <c r="R70" s="425"/>
      <c r="S70" s="425"/>
      <c r="T70" s="425"/>
      <c r="U70" s="255"/>
    </row>
    <row r="78" spans="2:21" x14ac:dyDescent="0.15">
      <c r="E78" s="2"/>
    </row>
  </sheetData>
  <sheetProtection password="D04A" sheet="1" objects="1" scenarios="1"/>
  <mergeCells count="8">
    <mergeCell ref="C70:T70"/>
    <mergeCell ref="C69:T69"/>
    <mergeCell ref="C3:T3"/>
    <mergeCell ref="C4:T4"/>
    <mergeCell ref="E10:F10"/>
    <mergeCell ref="E11:F11"/>
    <mergeCell ref="H62:L62"/>
    <mergeCell ref="D7:G7"/>
  </mergeCells>
  <phoneticPr fontId="0" type="noConversion"/>
  <pageMargins left="0.74" right="0.35" top="0.38" bottom="0.5" header="0.26" footer="0.37"/>
  <pageSetup scale="49" orientation="portrait" blackAndWhite="1" horizontalDpi="360" verticalDpi="36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18"/>
  <sheetViews>
    <sheetView workbookViewId="0">
      <selection activeCell="B23" sqref="B23"/>
    </sheetView>
  </sheetViews>
  <sheetFormatPr baseColWidth="10" defaultColWidth="8.83203125" defaultRowHeight="13" x14ac:dyDescent="0.15"/>
  <cols>
    <col min="1" max="1" width="9.1640625" customWidth="1"/>
    <col min="2" max="2" width="8.5" customWidth="1"/>
    <col min="3" max="65" width="9.1640625" customWidth="1"/>
  </cols>
  <sheetData>
    <row r="2" spans="1:2" ht="15" customHeight="1" x14ac:dyDescent="0.15">
      <c r="A2" s="196">
        <v>1</v>
      </c>
      <c r="B2" t="s">
        <v>377</v>
      </c>
    </row>
    <row r="4" spans="1:2" x14ac:dyDescent="0.15">
      <c r="A4" s="196">
        <v>3</v>
      </c>
      <c r="B4" t="s">
        <v>378</v>
      </c>
    </row>
    <row r="6" spans="1:2" x14ac:dyDescent="0.15">
      <c r="A6" s="196">
        <v>5</v>
      </c>
      <c r="B6" t="s">
        <v>379</v>
      </c>
    </row>
    <row r="7" spans="1:2" x14ac:dyDescent="0.15">
      <c r="A7" s="196"/>
    </row>
    <row r="8" spans="1:2" x14ac:dyDescent="0.15">
      <c r="A8" s="196">
        <v>7</v>
      </c>
      <c r="B8" t="s">
        <v>380</v>
      </c>
    </row>
    <row r="9" spans="1:2" x14ac:dyDescent="0.15">
      <c r="A9" s="196"/>
    </row>
    <row r="10" spans="1:2" x14ac:dyDescent="0.15">
      <c r="A10" s="196">
        <v>19</v>
      </c>
      <c r="B10" t="s">
        <v>381</v>
      </c>
    </row>
    <row r="11" spans="1:2" x14ac:dyDescent="0.15">
      <c r="A11" s="196"/>
    </row>
    <row r="12" spans="1:2" x14ac:dyDescent="0.15">
      <c r="A12" s="196">
        <v>36</v>
      </c>
      <c r="B12" t="s">
        <v>382</v>
      </c>
    </row>
    <row r="13" spans="1:2" x14ac:dyDescent="0.15">
      <c r="A13" s="196"/>
    </row>
    <row r="14" spans="1:2" x14ac:dyDescent="0.15">
      <c r="A14" s="196">
        <v>75</v>
      </c>
      <c r="B14" t="s">
        <v>383</v>
      </c>
    </row>
    <row r="15" spans="1:2" x14ac:dyDescent="0.15">
      <c r="A15" s="196"/>
    </row>
    <row r="16" spans="1:2" x14ac:dyDescent="0.15">
      <c r="A16" s="196">
        <v>76</v>
      </c>
      <c r="B16" t="s">
        <v>384</v>
      </c>
    </row>
    <row r="18" spans="1:2" x14ac:dyDescent="0.15">
      <c r="A18" s="196">
        <v>78</v>
      </c>
      <c r="B18" t="s">
        <v>385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385</vt:i4>
      </vt:variant>
    </vt:vector>
  </HeadingPairs>
  <TitlesOfParts>
    <vt:vector size="402" baseType="lpstr">
      <vt:lpstr>APCS</vt:lpstr>
      <vt:lpstr>APCS (19)</vt:lpstr>
      <vt:lpstr>AACS</vt:lpstr>
      <vt:lpstr>ABCS</vt:lpstr>
      <vt:lpstr>ABCS (2)</vt:lpstr>
      <vt:lpstr>Sheet2</vt:lpstr>
      <vt:lpstr>3-20A</vt:lpstr>
      <vt:lpstr>03-45</vt:lpstr>
      <vt:lpstr>Sheet7</vt:lpstr>
      <vt:lpstr>Sheet9</vt:lpstr>
      <vt:lpstr>Sheet10</vt:lpstr>
      <vt:lpstr>Sheet13</vt:lpstr>
      <vt:lpstr>Sheet14</vt:lpstr>
      <vt:lpstr>Sheet15</vt:lpstr>
      <vt:lpstr>Sheet16</vt:lpstr>
      <vt:lpstr>Sheet1</vt:lpstr>
      <vt:lpstr>Summary</vt:lpstr>
      <vt:lpstr>_FIB10</vt:lpstr>
      <vt:lpstr>_FIB11</vt:lpstr>
      <vt:lpstr>_FIB12</vt:lpstr>
      <vt:lpstr>_FIB13</vt:lpstr>
      <vt:lpstr>_FIB14</vt:lpstr>
      <vt:lpstr>_FIB15</vt:lpstr>
      <vt:lpstr>_FIB16</vt:lpstr>
      <vt:lpstr>_FIB17</vt:lpstr>
      <vt:lpstr>_FIB18</vt:lpstr>
      <vt:lpstr>_FIB19</vt:lpstr>
      <vt:lpstr>_FIB20</vt:lpstr>
      <vt:lpstr>_FIB21</vt:lpstr>
      <vt:lpstr>_FIB22</vt:lpstr>
      <vt:lpstr>_FIB23</vt:lpstr>
      <vt:lpstr>_FIB24</vt:lpstr>
      <vt:lpstr>_FIB25</vt:lpstr>
      <vt:lpstr>_FIB26</vt:lpstr>
      <vt:lpstr>_FIB27</vt:lpstr>
      <vt:lpstr>_FIB28</vt:lpstr>
      <vt:lpstr>_FIB29</vt:lpstr>
      <vt:lpstr>_FIB30</vt:lpstr>
      <vt:lpstr>_FIB31</vt:lpstr>
      <vt:lpstr>_FIB32</vt:lpstr>
      <vt:lpstr>_FIB33</vt:lpstr>
      <vt:lpstr>_FIB34</vt:lpstr>
      <vt:lpstr>_FIB35</vt:lpstr>
      <vt:lpstr>_FIB36</vt:lpstr>
      <vt:lpstr>_FIB37</vt:lpstr>
      <vt:lpstr>_FIB38</vt:lpstr>
      <vt:lpstr>_FIB39</vt:lpstr>
      <vt:lpstr>_FIB40</vt:lpstr>
      <vt:lpstr>_FIB41</vt:lpstr>
      <vt:lpstr>_FIB42</vt:lpstr>
      <vt:lpstr>_FIB43</vt:lpstr>
      <vt:lpstr>_FIB44</vt:lpstr>
      <vt:lpstr>_FIB45</vt:lpstr>
      <vt:lpstr>_ND10</vt:lpstr>
      <vt:lpstr>_ND15</vt:lpstr>
      <vt:lpstr>_ND18</vt:lpstr>
      <vt:lpstr>_ND20</vt:lpstr>
      <vt:lpstr>_ND21</vt:lpstr>
      <vt:lpstr>_RPR10</vt:lpstr>
      <vt:lpstr>_RPR11</vt:lpstr>
      <vt:lpstr>_RPR12</vt:lpstr>
      <vt:lpstr>_RPR13</vt:lpstr>
      <vt:lpstr>_RPR14</vt:lpstr>
      <vt:lpstr>_RPR15</vt:lpstr>
      <vt:lpstr>_RPR16</vt:lpstr>
      <vt:lpstr>_RPR17</vt:lpstr>
      <vt:lpstr>_RPR18</vt:lpstr>
      <vt:lpstr>_RPR19</vt:lpstr>
      <vt:lpstr>_RPR20</vt:lpstr>
      <vt:lpstr>_RPR21</vt:lpstr>
      <vt:lpstr>_RPR22</vt:lpstr>
      <vt:lpstr>_RPR23</vt:lpstr>
      <vt:lpstr>_RPR24</vt:lpstr>
      <vt:lpstr>_RPR25</vt:lpstr>
      <vt:lpstr>_SWP10</vt:lpstr>
      <vt:lpstr>_SWP15</vt:lpstr>
      <vt:lpstr>_SWP18</vt:lpstr>
      <vt:lpstr>_SWP20</vt:lpstr>
      <vt:lpstr>_SWP21</vt:lpstr>
      <vt:lpstr>_SWP24</vt:lpstr>
      <vt:lpstr>_SWP25</vt:lpstr>
      <vt:lpstr>_SWP27</vt:lpstr>
      <vt:lpstr>_SWP30</vt:lpstr>
      <vt:lpstr>_SWP35</vt:lpstr>
      <vt:lpstr>_SWP40</vt:lpstr>
      <vt:lpstr>_TIR10</vt:lpstr>
      <vt:lpstr>_TIR11</vt:lpstr>
      <vt:lpstr>_TIR12</vt:lpstr>
      <vt:lpstr>_TIR13</vt:lpstr>
      <vt:lpstr>_TIR14</vt:lpstr>
      <vt:lpstr>_TIR15</vt:lpstr>
      <vt:lpstr>_TIR16</vt:lpstr>
      <vt:lpstr>_TIR17</vt:lpstr>
      <vt:lpstr>_TIR18</vt:lpstr>
      <vt:lpstr>_TIR19</vt:lpstr>
      <vt:lpstr>_TIR20</vt:lpstr>
      <vt:lpstr>_TIR21</vt:lpstr>
      <vt:lpstr>_TIR22</vt:lpstr>
      <vt:lpstr>_TIR23</vt:lpstr>
      <vt:lpstr>_TIR24</vt:lpstr>
      <vt:lpstr>_TIR25</vt:lpstr>
      <vt:lpstr>Age</vt:lpstr>
      <vt:lpstr>FIB10_</vt:lpstr>
      <vt:lpstr>FIB11_</vt:lpstr>
      <vt:lpstr>FIB12_</vt:lpstr>
      <vt:lpstr>FIB13_</vt:lpstr>
      <vt:lpstr>FIB14_</vt:lpstr>
      <vt:lpstr>FIB15_</vt:lpstr>
      <vt:lpstr>FIB16_</vt:lpstr>
      <vt:lpstr>FIB17_</vt:lpstr>
      <vt:lpstr>FIB18_</vt:lpstr>
      <vt:lpstr>FIB19_</vt:lpstr>
      <vt:lpstr>FIB20_</vt:lpstr>
      <vt:lpstr>FIB21_</vt:lpstr>
      <vt:lpstr>FIB22_</vt:lpstr>
      <vt:lpstr>FIB23_</vt:lpstr>
      <vt:lpstr>FIB24_</vt:lpstr>
      <vt:lpstr>FIB25_</vt:lpstr>
      <vt:lpstr>FIB26_</vt:lpstr>
      <vt:lpstr>FIB27_</vt:lpstr>
      <vt:lpstr>FIB28_</vt:lpstr>
      <vt:lpstr>FIB29_</vt:lpstr>
      <vt:lpstr>FIB30_</vt:lpstr>
      <vt:lpstr>FIB31_</vt:lpstr>
      <vt:lpstr>FIB32_</vt:lpstr>
      <vt:lpstr>FIB33_</vt:lpstr>
      <vt:lpstr>FIB34_</vt:lpstr>
      <vt:lpstr>FIB35_</vt:lpstr>
      <vt:lpstr>FIB36_</vt:lpstr>
      <vt:lpstr>FIB37_</vt:lpstr>
      <vt:lpstr>FIB38_</vt:lpstr>
      <vt:lpstr>FIB39_</vt:lpstr>
      <vt:lpstr>FIB40_</vt:lpstr>
      <vt:lpstr>FIB41_</vt:lpstr>
      <vt:lpstr>FIB42_</vt:lpstr>
      <vt:lpstr>FIB43_</vt:lpstr>
      <vt:lpstr>FIB44_</vt:lpstr>
      <vt:lpstr>FIB45_</vt:lpstr>
      <vt:lpstr>ND10_</vt:lpstr>
      <vt:lpstr>ND15_</vt:lpstr>
      <vt:lpstr>ND18_</vt:lpstr>
      <vt:lpstr>ND20_</vt:lpstr>
      <vt:lpstr>ND21_</vt:lpstr>
      <vt:lpstr>APCS!plan</vt:lpstr>
      <vt:lpstr>'APCS (19)'!plan</vt:lpstr>
      <vt:lpstr>'03-45'!Print_Area</vt:lpstr>
      <vt:lpstr>'3-20A'!Print_Area</vt:lpstr>
      <vt:lpstr>ABCS!Print_Area</vt:lpstr>
      <vt:lpstr>'ABCS (2)'!Print_Area</vt:lpstr>
      <vt:lpstr>APCS!Print_Area</vt:lpstr>
      <vt:lpstr>'APCS (19)'!Print_Area</vt:lpstr>
      <vt:lpstr>Sheet2!Print_Area</vt:lpstr>
      <vt:lpstr>Summary!Print_Area</vt:lpstr>
      <vt:lpstr>RPR10_</vt:lpstr>
      <vt:lpstr>RPR11_</vt:lpstr>
      <vt:lpstr>RPR12_</vt:lpstr>
      <vt:lpstr>RPR13_</vt:lpstr>
      <vt:lpstr>RPR14_</vt:lpstr>
      <vt:lpstr>RPR15_</vt:lpstr>
      <vt:lpstr>RPR16_</vt:lpstr>
      <vt:lpstr>RPR17_</vt:lpstr>
      <vt:lpstr>RPR18_</vt:lpstr>
      <vt:lpstr>RPR19_</vt:lpstr>
      <vt:lpstr>RPR20_</vt:lpstr>
      <vt:lpstr>RPR21_</vt:lpstr>
      <vt:lpstr>RPR22_</vt:lpstr>
      <vt:lpstr>RPR23_</vt:lpstr>
      <vt:lpstr>RPR24_</vt:lpstr>
      <vt:lpstr>RPR25_</vt:lpstr>
      <vt:lpstr>SWP10_</vt:lpstr>
      <vt:lpstr>SWP11_</vt:lpstr>
      <vt:lpstr>SWP12_</vt:lpstr>
      <vt:lpstr>SWP13_</vt:lpstr>
      <vt:lpstr>SWP14_</vt:lpstr>
      <vt:lpstr>SWP15_</vt:lpstr>
      <vt:lpstr>SWP16_</vt:lpstr>
      <vt:lpstr>SWP17_</vt:lpstr>
      <vt:lpstr>SWP18_</vt:lpstr>
      <vt:lpstr>SWP19_</vt:lpstr>
      <vt:lpstr>SWP20_</vt:lpstr>
      <vt:lpstr>SWP21_</vt:lpstr>
      <vt:lpstr>SWP22_</vt:lpstr>
      <vt:lpstr>SWP23_</vt:lpstr>
      <vt:lpstr>SWP24_</vt:lpstr>
      <vt:lpstr>SWP25_</vt:lpstr>
      <vt:lpstr>SWP26_</vt:lpstr>
      <vt:lpstr>SWP27_</vt:lpstr>
      <vt:lpstr>SWP28_</vt:lpstr>
      <vt:lpstr>SWP29_</vt:lpstr>
      <vt:lpstr>SWP30_</vt:lpstr>
      <vt:lpstr>SWP31_</vt:lpstr>
      <vt:lpstr>SWP32_</vt:lpstr>
      <vt:lpstr>SWP33_</vt:lpstr>
      <vt:lpstr>SWP34_</vt:lpstr>
      <vt:lpstr>SWP35_</vt:lpstr>
      <vt:lpstr>SWP36_</vt:lpstr>
      <vt:lpstr>SWP37_</vt:lpstr>
      <vt:lpstr>SWP38_</vt:lpstr>
      <vt:lpstr>SWP39_</vt:lpstr>
      <vt:lpstr>SWP40_</vt:lpstr>
      <vt:lpstr>APCS!table</vt:lpstr>
      <vt:lpstr>'APCS (19)'!table</vt:lpstr>
      <vt:lpstr>Term01</vt:lpstr>
      <vt:lpstr>Term0210</vt:lpstr>
      <vt:lpstr>Term0215</vt:lpstr>
      <vt:lpstr>Term0220</vt:lpstr>
      <vt:lpstr>Term0225</vt:lpstr>
      <vt:lpstr>Term0230</vt:lpstr>
      <vt:lpstr>Term0270</vt:lpstr>
      <vt:lpstr>Term0310</vt:lpstr>
      <vt:lpstr>Term0311</vt:lpstr>
      <vt:lpstr>Term0312</vt:lpstr>
      <vt:lpstr>Term0313</vt:lpstr>
      <vt:lpstr>Term0314</vt:lpstr>
      <vt:lpstr>Term0315</vt:lpstr>
      <vt:lpstr>Term0316</vt:lpstr>
      <vt:lpstr>Term0317</vt:lpstr>
      <vt:lpstr>Term0318</vt:lpstr>
      <vt:lpstr>Term0319</vt:lpstr>
      <vt:lpstr>Term0320</vt:lpstr>
      <vt:lpstr>Term0321</vt:lpstr>
      <vt:lpstr>Term0322</vt:lpstr>
      <vt:lpstr>Term0323</vt:lpstr>
      <vt:lpstr>Term0324</vt:lpstr>
      <vt:lpstr>Term0325</vt:lpstr>
      <vt:lpstr>Term0326</vt:lpstr>
      <vt:lpstr>Term0327</vt:lpstr>
      <vt:lpstr>Term0328</vt:lpstr>
      <vt:lpstr>Term0329</vt:lpstr>
      <vt:lpstr>Term0330</vt:lpstr>
      <vt:lpstr>Term0331</vt:lpstr>
      <vt:lpstr>Term0332</vt:lpstr>
      <vt:lpstr>Term0333</vt:lpstr>
      <vt:lpstr>Term0334</vt:lpstr>
      <vt:lpstr>Term0335</vt:lpstr>
      <vt:lpstr>Term0336</vt:lpstr>
      <vt:lpstr>Term0337</vt:lpstr>
      <vt:lpstr>Term0338</vt:lpstr>
      <vt:lpstr>Term0339</vt:lpstr>
      <vt:lpstr>Term0340</vt:lpstr>
      <vt:lpstr>Term0341</vt:lpstr>
      <vt:lpstr>Term0342</vt:lpstr>
      <vt:lpstr>Term0343</vt:lpstr>
      <vt:lpstr>Term0344</vt:lpstr>
      <vt:lpstr>Term0345</vt:lpstr>
      <vt:lpstr>Term0346</vt:lpstr>
      <vt:lpstr>Term0347</vt:lpstr>
      <vt:lpstr>Term0348</vt:lpstr>
      <vt:lpstr>Term0349</vt:lpstr>
      <vt:lpstr>Term0350</vt:lpstr>
      <vt:lpstr>Term0351</vt:lpstr>
      <vt:lpstr>Term0352</vt:lpstr>
      <vt:lpstr>Term0353</vt:lpstr>
      <vt:lpstr>Term0354</vt:lpstr>
      <vt:lpstr>Term0355</vt:lpstr>
      <vt:lpstr>Term0470</vt:lpstr>
      <vt:lpstr>Term0518</vt:lpstr>
      <vt:lpstr>Term0521</vt:lpstr>
      <vt:lpstr>Term0524</vt:lpstr>
      <vt:lpstr>Term0527</vt:lpstr>
      <vt:lpstr>Term0530</vt:lpstr>
      <vt:lpstr>Term0610</vt:lpstr>
      <vt:lpstr>Term0615</vt:lpstr>
      <vt:lpstr>Term0620</vt:lpstr>
      <vt:lpstr>Term0625</vt:lpstr>
      <vt:lpstr>Term0630</vt:lpstr>
      <vt:lpstr>Term0635</vt:lpstr>
      <vt:lpstr>Term0710</vt:lpstr>
      <vt:lpstr>Term0711</vt:lpstr>
      <vt:lpstr>Term0712</vt:lpstr>
      <vt:lpstr>Term0713</vt:lpstr>
      <vt:lpstr>Term0714</vt:lpstr>
      <vt:lpstr>Term0715</vt:lpstr>
      <vt:lpstr>Term0716</vt:lpstr>
      <vt:lpstr>Term0717</vt:lpstr>
      <vt:lpstr>Term0718</vt:lpstr>
      <vt:lpstr>Term0719</vt:lpstr>
      <vt:lpstr>Term0720</vt:lpstr>
      <vt:lpstr>Term0721</vt:lpstr>
      <vt:lpstr>Term0722</vt:lpstr>
      <vt:lpstr>Term0723</vt:lpstr>
      <vt:lpstr>Term0724</vt:lpstr>
      <vt:lpstr>Term0910</vt:lpstr>
      <vt:lpstr>Term0915</vt:lpstr>
      <vt:lpstr>Term0920</vt:lpstr>
      <vt:lpstr>Term0925</vt:lpstr>
      <vt:lpstr>Term0930</vt:lpstr>
      <vt:lpstr>Term0940</vt:lpstr>
      <vt:lpstr>Term0950</vt:lpstr>
      <vt:lpstr>Term1218</vt:lpstr>
      <vt:lpstr>Term1221</vt:lpstr>
      <vt:lpstr>Term1725</vt:lpstr>
      <vt:lpstr>Term1726</vt:lpstr>
      <vt:lpstr>Term1727</vt:lpstr>
      <vt:lpstr>Term1728</vt:lpstr>
      <vt:lpstr>Term1729</vt:lpstr>
      <vt:lpstr>Term1730</vt:lpstr>
      <vt:lpstr>Term1731</vt:lpstr>
      <vt:lpstr>Term1732</vt:lpstr>
      <vt:lpstr>Term1733</vt:lpstr>
      <vt:lpstr>Term1734</vt:lpstr>
      <vt:lpstr>Term1735</vt:lpstr>
      <vt:lpstr>Term1736</vt:lpstr>
      <vt:lpstr>Term1737</vt:lpstr>
      <vt:lpstr>Term1738</vt:lpstr>
      <vt:lpstr>Term1739</vt:lpstr>
      <vt:lpstr>Term1740</vt:lpstr>
      <vt:lpstr>Term1815</vt:lpstr>
      <vt:lpstr>Term1820</vt:lpstr>
      <vt:lpstr>Term1910</vt:lpstr>
      <vt:lpstr>Term1915</vt:lpstr>
      <vt:lpstr>Term1920</vt:lpstr>
      <vt:lpstr>Term1925</vt:lpstr>
      <vt:lpstr>Term1930</vt:lpstr>
      <vt:lpstr>Term1935</vt:lpstr>
      <vt:lpstr>Term2405</vt:lpstr>
      <vt:lpstr>Term2406</vt:lpstr>
      <vt:lpstr>Term2407</vt:lpstr>
      <vt:lpstr>Term2408</vt:lpstr>
      <vt:lpstr>Term2409</vt:lpstr>
      <vt:lpstr>Term2410</vt:lpstr>
      <vt:lpstr>Term2505</vt:lpstr>
      <vt:lpstr>Term2506</vt:lpstr>
      <vt:lpstr>Term2507</vt:lpstr>
      <vt:lpstr>Term2508</vt:lpstr>
      <vt:lpstr>Term2509</vt:lpstr>
      <vt:lpstr>Term2510</vt:lpstr>
      <vt:lpstr>Term3610</vt:lpstr>
      <vt:lpstr>Term3615</vt:lpstr>
      <vt:lpstr>Term3620</vt:lpstr>
      <vt:lpstr>Term3625</vt:lpstr>
      <vt:lpstr>Term74A12</vt:lpstr>
      <vt:lpstr>Term74A15</vt:lpstr>
      <vt:lpstr>Term74A18</vt:lpstr>
      <vt:lpstr>Term74A21</vt:lpstr>
      <vt:lpstr>Term74A24</vt:lpstr>
      <vt:lpstr>Term74A27</vt:lpstr>
      <vt:lpstr>Term74A30</vt:lpstr>
      <vt:lpstr>Term74B12</vt:lpstr>
      <vt:lpstr>Term74B15</vt:lpstr>
      <vt:lpstr>Term74B18</vt:lpstr>
      <vt:lpstr>Term74B21</vt:lpstr>
      <vt:lpstr>Term74B24</vt:lpstr>
      <vt:lpstr>Term74B27</vt:lpstr>
      <vt:lpstr>Term74B30</vt:lpstr>
      <vt:lpstr>Term7510</vt:lpstr>
      <vt:lpstr>Term7511</vt:lpstr>
      <vt:lpstr>Term7512</vt:lpstr>
      <vt:lpstr>Term7513</vt:lpstr>
      <vt:lpstr>Term7514</vt:lpstr>
      <vt:lpstr>Term7515</vt:lpstr>
      <vt:lpstr>Term7516</vt:lpstr>
      <vt:lpstr>Term7517</vt:lpstr>
      <vt:lpstr>Term7518</vt:lpstr>
      <vt:lpstr>Term7519</vt:lpstr>
      <vt:lpstr>Term7520</vt:lpstr>
      <vt:lpstr>Term7521</vt:lpstr>
      <vt:lpstr>Term7522</vt:lpstr>
      <vt:lpstr>Term7523</vt:lpstr>
      <vt:lpstr>Term7524</vt:lpstr>
      <vt:lpstr>Term7610</vt:lpstr>
      <vt:lpstr>Term7611</vt:lpstr>
      <vt:lpstr>Term7612</vt:lpstr>
      <vt:lpstr>Term7613</vt:lpstr>
      <vt:lpstr>Term7614</vt:lpstr>
      <vt:lpstr>Term7615</vt:lpstr>
      <vt:lpstr>Term7616</vt:lpstr>
      <vt:lpstr>Term7617</vt:lpstr>
      <vt:lpstr>Term7618</vt:lpstr>
      <vt:lpstr>Term7619</vt:lpstr>
      <vt:lpstr>Term7620</vt:lpstr>
      <vt:lpstr>Term7621</vt:lpstr>
      <vt:lpstr>Term7622</vt:lpstr>
      <vt:lpstr>Term7623</vt:lpstr>
      <vt:lpstr>Term7624</vt:lpstr>
      <vt:lpstr>Term7815</vt:lpstr>
      <vt:lpstr>Term7816</vt:lpstr>
      <vt:lpstr>Term7817</vt:lpstr>
      <vt:lpstr>Term7818</vt:lpstr>
      <vt:lpstr>Term7819</vt:lpstr>
      <vt:lpstr>Term7820</vt:lpstr>
      <vt:lpstr>Term7821</vt:lpstr>
      <vt:lpstr>Term7822</vt:lpstr>
      <vt:lpstr>Term7823</vt:lpstr>
      <vt:lpstr>Term7824</vt:lpstr>
      <vt:lpstr>Term7825</vt:lpstr>
      <vt:lpstr>TIR10_</vt:lpstr>
      <vt:lpstr>TIR11_</vt:lpstr>
      <vt:lpstr>TIR12_</vt:lpstr>
      <vt:lpstr>TIR13_</vt:lpstr>
      <vt:lpstr>TIR14_</vt:lpstr>
      <vt:lpstr>TIR15_</vt:lpstr>
      <vt:lpstr>TIR16_</vt:lpstr>
      <vt:lpstr>TIR17_</vt:lpstr>
      <vt:lpstr>TIR18_</vt:lpstr>
      <vt:lpstr>TIR19_</vt:lpstr>
      <vt:lpstr>TIR20_</vt:lpstr>
      <vt:lpstr>TIR21_</vt:lpstr>
      <vt:lpstr>TIR22_</vt:lpstr>
      <vt:lpstr>TIR23_</vt:lpstr>
      <vt:lpstr>TIR24_</vt:lpstr>
      <vt:lpstr>TIR25_</vt:lpstr>
    </vt:vector>
  </TitlesOfParts>
  <Company>SSS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LIFE CTI SHP</dc:creator>
  <cp:lastModifiedBy></cp:lastModifiedBy>
  <cp:lastPrinted>2018-07-03T11:53:34Z</cp:lastPrinted>
  <dcterms:created xsi:type="dcterms:W3CDTF">2004-12-30T22:32:25Z</dcterms:created>
  <dcterms:modified xsi:type="dcterms:W3CDTF">2024-02-22T08:34:05Z</dcterms:modified>
</cp:coreProperties>
</file>